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45" windowWidth="15195" windowHeight="8445" activeTab="0"/>
  </bookViews>
  <sheets>
    <sheet name="Celkové výsledky 2020" sheetId="1" r:id="rId1"/>
    <sheet name="Kategórie" sheetId="2" r:id="rId2"/>
    <sheet name="Vyhodnotenie" sheetId="3" r:id="rId3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<sst xmlns="http://schemas.openxmlformats.org/spreadsheetml/2006/main" count="1230" uniqueCount="123">
  <si>
    <t>Meno</t>
  </si>
  <si>
    <t>Oddiel</t>
  </si>
  <si>
    <t>Čas</t>
  </si>
  <si>
    <t>m</t>
  </si>
  <si>
    <t>m/ž</t>
  </si>
  <si>
    <t>dátum</t>
  </si>
  <si>
    <t>KAT</t>
  </si>
  <si>
    <t>Por. v kat.</t>
  </si>
  <si>
    <t>Rok nar.</t>
  </si>
  <si>
    <t>Priezvisko</t>
  </si>
  <si>
    <t>štát</t>
  </si>
  <si>
    <t>SVK</t>
  </si>
  <si>
    <t>.</t>
  </si>
  <si>
    <t xml:space="preserve">Výsledky spracovala: Anna Bucová </t>
  </si>
  <si>
    <t>Hlavný rozhodca: Peter Buc peter.buc59@gmail.com 0905299189</t>
  </si>
  <si>
    <t>Št.č.</t>
  </si>
  <si>
    <t>P.č</t>
  </si>
  <si>
    <t>Výsledková listina 2.ročníka Behu štyroch mostov - Prešov 28.august 2020</t>
  </si>
  <si>
    <t>8,3 km</t>
  </si>
  <si>
    <t xml:space="preserve">Marko </t>
  </si>
  <si>
    <t>Denisa</t>
  </si>
  <si>
    <t>VARGA</t>
  </si>
  <si>
    <t>Peter</t>
  </si>
  <si>
    <t>ž</t>
  </si>
  <si>
    <t xml:space="preserve">SOSA </t>
  </si>
  <si>
    <t>Eduardo</t>
  </si>
  <si>
    <t>Prešov</t>
  </si>
  <si>
    <t>Aila</t>
  </si>
  <si>
    <t>Taavi</t>
  </si>
  <si>
    <t>1987</t>
  </si>
  <si>
    <t xml:space="preserve">Ján </t>
  </si>
  <si>
    <t>MTC Vyšná Šebastová</t>
  </si>
  <si>
    <t>TOMČO</t>
  </si>
  <si>
    <t>;</t>
  </si>
  <si>
    <t>STAHOVEC</t>
  </si>
  <si>
    <t>Martin</t>
  </si>
  <si>
    <t>MARAS team</t>
  </si>
  <si>
    <t xml:space="preserve">GREŠ </t>
  </si>
  <si>
    <t>Marek</t>
  </si>
  <si>
    <t>Malý Šariš</t>
  </si>
  <si>
    <t>ŠÁRPATAKY</t>
  </si>
  <si>
    <t>Ľuboš</t>
  </si>
  <si>
    <t>IMRICH</t>
  </si>
  <si>
    <t>KERAKO Soľ</t>
  </si>
  <si>
    <t>BOHUNICKÝ</t>
  </si>
  <si>
    <t>Ša+a</t>
  </si>
  <si>
    <t>KORIBSKÝ</t>
  </si>
  <si>
    <t>Jaroslav</t>
  </si>
  <si>
    <t>Fintice</t>
  </si>
  <si>
    <t>KAŠPRIŠIN</t>
  </si>
  <si>
    <t>Marko</t>
  </si>
  <si>
    <t>GREŠOVÁ</t>
  </si>
  <si>
    <t>Daniela</t>
  </si>
  <si>
    <t>Jihlava</t>
  </si>
  <si>
    <t>SAFKO</t>
  </si>
  <si>
    <t>Milan</t>
  </si>
  <si>
    <t>Jozef</t>
  </si>
  <si>
    <t>TUŠAI</t>
  </si>
  <si>
    <t>Roland</t>
  </si>
  <si>
    <t>MBK Veľké Kapušany</t>
  </si>
  <si>
    <t>JURECOVÁ</t>
  </si>
  <si>
    <t>Jana</t>
  </si>
  <si>
    <t>HUDÁK</t>
  </si>
  <si>
    <t>Anton</t>
  </si>
  <si>
    <t>Jaroslav Hrebík Voda kúrenie plyn</t>
  </si>
  <si>
    <t>JAKUBKOVIČ</t>
  </si>
  <si>
    <t>Dominik</t>
  </si>
  <si>
    <t>BUČEKOVÁ</t>
  </si>
  <si>
    <t>Marcela</t>
  </si>
  <si>
    <t xml:space="preserve">BUČEK </t>
  </si>
  <si>
    <t>Jakub</t>
  </si>
  <si>
    <t>PAŽIN</t>
  </si>
  <si>
    <t>Rastislav</t>
  </si>
  <si>
    <t>3 MR Sport Prešov</t>
  </si>
  <si>
    <t>ProRun Moldava</t>
  </si>
  <si>
    <t>MAROŠOVÁ</t>
  </si>
  <si>
    <t>Lucia</t>
  </si>
  <si>
    <t>Stropkov</t>
  </si>
  <si>
    <t xml:space="preserve">MAROŠ </t>
  </si>
  <si>
    <t>Matúš</t>
  </si>
  <si>
    <t>ŽÁVISKÁ</t>
  </si>
  <si>
    <t>Dominika</t>
  </si>
  <si>
    <t>Nižná Rybnica</t>
  </si>
  <si>
    <t>2008</t>
  </si>
  <si>
    <t>Juraj</t>
  </si>
  <si>
    <t>FUČO</t>
  </si>
  <si>
    <t>Emil</t>
  </si>
  <si>
    <t>Okružná</t>
  </si>
  <si>
    <t>Alojz</t>
  </si>
  <si>
    <t>Mária</t>
  </si>
  <si>
    <t>BAHURINSKÁ</t>
  </si>
  <si>
    <t>Anna</t>
  </si>
  <si>
    <t>STAVAČ</t>
  </si>
  <si>
    <t>1982</t>
  </si>
  <si>
    <t>HI G Run</t>
  </si>
  <si>
    <t xml:space="preserve">ŠOLTÝS </t>
  </si>
  <si>
    <t>MARAS Team</t>
  </si>
  <si>
    <t>TOMEČEK</t>
  </si>
  <si>
    <t>ČECHOVÁ</t>
  </si>
  <si>
    <t>9:99:99</t>
  </si>
  <si>
    <t>muži do 39 rokov</t>
  </si>
  <si>
    <t>muži od 40 do 49 rokov</t>
  </si>
  <si>
    <t>muži od 50 do 59 rokov</t>
  </si>
  <si>
    <t>muži nad 70 rokov</t>
  </si>
  <si>
    <t>muži od 60 do 69 rokov</t>
  </si>
  <si>
    <t>ženy do 39 rokov</t>
  </si>
  <si>
    <t>ženy od 40 do 49 rokov</t>
  </si>
  <si>
    <t>ženy od 50 do 59 rokov</t>
  </si>
  <si>
    <t>ženy nad 60 rokov</t>
  </si>
  <si>
    <t>dorastenci</t>
  </si>
  <si>
    <t>dorastenky</t>
  </si>
  <si>
    <t>ZÁVOJNOVÁ</t>
  </si>
  <si>
    <t>Muži 40-49 rokov</t>
  </si>
  <si>
    <t>Muži 50-59 rokov</t>
  </si>
  <si>
    <t>Muži 60-69 rokov</t>
  </si>
  <si>
    <t>Muži 70 viac rokov</t>
  </si>
  <si>
    <t>Ženy do 39 rokov</t>
  </si>
  <si>
    <t>Ženy 40-49 rokov</t>
  </si>
  <si>
    <t>Ženy 50-59 rokov</t>
  </si>
  <si>
    <t>Ženy 60 a viac rokov</t>
  </si>
  <si>
    <t>Muži dorastenci 17 a menej rokov</t>
  </si>
  <si>
    <t>Ženy dorastenky 17 a menej rokov</t>
  </si>
  <si>
    <t>DNF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</si>
</sst>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#,##0_ ;\-#,##0\ 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¥€-2]\ #\ ##,000_);[Red]\([$€-2]\ #\ ##,000\)"/>
  </numFmts>
  <fonts count="9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7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7"/>
      <color rgb="FF00B05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49" fontId="73" fillId="34" borderId="10" xfId="0" applyNumberFormat="1" applyFont="1" applyFill="1" applyBorder="1" applyAlignment="1">
      <alignment horizontal="center"/>
    </xf>
    <xf numFmtId="49" fontId="73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74" fillId="34" borderId="10" xfId="0" applyNumberFormat="1" applyFont="1" applyFill="1" applyBorder="1" applyAlignment="1">
      <alignment horizontal="center"/>
    </xf>
    <xf numFmtId="49" fontId="74" fillId="35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5" fillId="34" borderId="12" xfId="0" applyFont="1" applyFill="1" applyBorder="1" applyAlignment="1">
      <alignment/>
    </xf>
    <xf numFmtId="0" fontId="75" fillId="35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5" fillId="35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74" fillId="35" borderId="13" xfId="0" applyFont="1" applyFill="1" applyBorder="1" applyAlignment="1">
      <alignment/>
    </xf>
    <xf numFmtId="0" fontId="74" fillId="34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76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14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6" fillId="0" borderId="11" xfId="0" applyFont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76" fillId="33" borderId="15" xfId="0" applyFont="1" applyFill="1" applyBorder="1" applyAlignment="1">
      <alignment/>
    </xf>
    <xf numFmtId="0" fontId="79" fillId="33" borderId="11" xfId="0" applyFont="1" applyFill="1" applyBorder="1" applyAlignment="1">
      <alignment horizontal="center"/>
    </xf>
    <xf numFmtId="21" fontId="78" fillId="33" borderId="1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/>
    </xf>
    <xf numFmtId="0" fontId="77" fillId="33" borderId="13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76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6" fillId="33" borderId="12" xfId="0" applyFont="1" applyFill="1" applyBorder="1" applyAlignment="1">
      <alignment/>
    </xf>
    <xf numFmtId="0" fontId="79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7" fillId="35" borderId="13" xfId="0" applyFont="1" applyFill="1" applyBorder="1" applyAlignment="1">
      <alignment/>
    </xf>
    <xf numFmtId="0" fontId="76" fillId="35" borderId="10" xfId="0" applyFont="1" applyFill="1" applyBorder="1" applyAlignment="1">
      <alignment/>
    </xf>
    <xf numFmtId="49" fontId="77" fillId="35" borderId="10" xfId="0" applyNumberFormat="1" applyFont="1" applyFill="1" applyBorder="1" applyAlignment="1">
      <alignment horizontal="center"/>
    </xf>
    <xf numFmtId="49" fontId="78" fillId="35" borderId="10" xfId="0" applyNumberFormat="1" applyFont="1" applyFill="1" applyBorder="1" applyAlignment="1">
      <alignment horizontal="center"/>
    </xf>
    <xf numFmtId="0" fontId="76" fillId="35" borderId="12" xfId="0" applyFont="1" applyFill="1" applyBorder="1" applyAlignment="1">
      <alignment/>
    </xf>
    <xf numFmtId="0" fontId="77" fillId="35" borderId="13" xfId="0" applyFont="1" applyFill="1" applyBorder="1" applyAlignment="1">
      <alignment/>
    </xf>
    <xf numFmtId="0" fontId="77" fillId="34" borderId="13" xfId="0" applyFont="1" applyFill="1" applyBorder="1" applyAlignment="1">
      <alignment/>
    </xf>
    <xf numFmtId="0" fontId="76" fillId="34" borderId="10" xfId="0" applyFont="1" applyFill="1" applyBorder="1" applyAlignment="1">
      <alignment/>
    </xf>
    <xf numFmtId="49" fontId="77" fillId="34" borderId="10" xfId="0" applyNumberFormat="1" applyFont="1" applyFill="1" applyBorder="1" applyAlignment="1">
      <alignment horizontal="center"/>
    </xf>
    <xf numFmtId="49" fontId="78" fillId="34" borderId="10" xfId="0" applyNumberFormat="1" applyFont="1" applyFill="1" applyBorder="1" applyAlignment="1">
      <alignment horizontal="center"/>
    </xf>
    <xf numFmtId="0" fontId="76" fillId="34" borderId="12" xfId="0" applyFont="1" applyFill="1" applyBorder="1" applyAlignment="1">
      <alignment/>
    </xf>
    <xf numFmtId="0" fontId="80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3" borderId="13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80" fillId="0" borderId="10" xfId="0" applyFont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0" fillId="33" borderId="12" xfId="0" applyFont="1" applyFill="1" applyBorder="1" applyAlignment="1">
      <alignment/>
    </xf>
    <xf numFmtId="0" fontId="83" fillId="33" borderId="11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21" fontId="82" fillId="33" borderId="10" xfId="0" applyNumberFormat="1" applyFont="1" applyFill="1" applyBorder="1" applyAlignment="1">
      <alignment horizontal="center"/>
    </xf>
    <xf numFmtId="0" fontId="80" fillId="33" borderId="0" xfId="0" applyFont="1" applyFill="1" applyAlignment="1">
      <alignment/>
    </xf>
    <xf numFmtId="0" fontId="81" fillId="34" borderId="13" xfId="0" applyFont="1" applyFill="1" applyBorder="1" applyAlignment="1">
      <alignment/>
    </xf>
    <xf numFmtId="0" fontId="80" fillId="34" borderId="10" xfId="0" applyFont="1" applyFill="1" applyBorder="1" applyAlignment="1">
      <alignment/>
    </xf>
    <xf numFmtId="49" fontId="81" fillId="34" borderId="10" xfId="0" applyNumberFormat="1" applyFont="1" applyFill="1" applyBorder="1" applyAlignment="1">
      <alignment horizontal="center"/>
    </xf>
    <xf numFmtId="49" fontId="82" fillId="34" borderId="10" xfId="0" applyNumberFormat="1" applyFont="1" applyFill="1" applyBorder="1" applyAlignment="1">
      <alignment horizontal="center"/>
    </xf>
    <xf numFmtId="0" fontId="80" fillId="34" borderId="12" xfId="0" applyFont="1" applyFill="1" applyBorder="1" applyAlignment="1">
      <alignment/>
    </xf>
    <xf numFmtId="0" fontId="80" fillId="33" borderId="11" xfId="0" applyFont="1" applyFill="1" applyBorder="1" applyAlignment="1">
      <alignment horizontal="center"/>
    </xf>
    <xf numFmtId="0" fontId="81" fillId="35" borderId="13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49" fontId="81" fillId="35" borderId="10" xfId="0" applyNumberFormat="1" applyFont="1" applyFill="1" applyBorder="1" applyAlignment="1">
      <alignment horizontal="center"/>
    </xf>
    <xf numFmtId="49" fontId="82" fillId="35" borderId="10" xfId="0" applyNumberFormat="1" applyFont="1" applyFill="1" applyBorder="1" applyAlignment="1">
      <alignment horizontal="center"/>
    </xf>
    <xf numFmtId="0" fontId="80" fillId="35" borderId="12" xfId="0" applyFont="1" applyFill="1" applyBorder="1" applyAlignment="1">
      <alignment/>
    </xf>
    <xf numFmtId="0" fontId="84" fillId="33" borderId="11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85" fillId="34" borderId="13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0" borderId="10" xfId="0" applyFont="1" applyBorder="1" applyAlignment="1">
      <alignment horizontal="center"/>
    </xf>
    <xf numFmtId="49" fontId="85" fillId="34" borderId="10" xfId="0" applyNumberFormat="1" applyFont="1" applyFill="1" applyBorder="1" applyAlignment="1">
      <alignment horizontal="center"/>
    </xf>
    <xf numFmtId="49" fontId="86" fillId="34" borderId="10" xfId="0" applyNumberFormat="1" applyFont="1" applyFill="1" applyBorder="1" applyAlignment="1">
      <alignment horizontal="center"/>
    </xf>
    <xf numFmtId="0" fontId="84" fillId="34" borderId="12" xfId="0" applyFont="1" applyFill="1" applyBorder="1" applyAlignment="1">
      <alignment/>
    </xf>
    <xf numFmtId="0" fontId="87" fillId="33" borderId="11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21" fontId="86" fillId="33" borderId="10" xfId="0" applyNumberFormat="1" applyFont="1" applyFill="1" applyBorder="1" applyAlignment="1">
      <alignment horizontal="center"/>
    </xf>
    <xf numFmtId="0" fontId="84" fillId="33" borderId="0" xfId="0" applyFont="1" applyFill="1" applyAlignment="1">
      <alignment/>
    </xf>
    <xf numFmtId="0" fontId="85" fillId="35" borderId="13" xfId="0" applyFont="1" applyFill="1" applyBorder="1" applyAlignment="1">
      <alignment/>
    </xf>
    <xf numFmtId="0" fontId="84" fillId="35" borderId="10" xfId="0" applyFont="1" applyFill="1" applyBorder="1" applyAlignment="1">
      <alignment/>
    </xf>
    <xf numFmtId="49" fontId="85" fillId="35" borderId="10" xfId="0" applyNumberFormat="1" applyFont="1" applyFill="1" applyBorder="1" applyAlignment="1">
      <alignment horizontal="center"/>
    </xf>
    <xf numFmtId="49" fontId="86" fillId="35" borderId="10" xfId="0" applyNumberFormat="1" applyFont="1" applyFill="1" applyBorder="1" applyAlignment="1">
      <alignment horizontal="center"/>
    </xf>
    <xf numFmtId="0" fontId="84" fillId="35" borderId="12" xfId="0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85" fillId="33" borderId="13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6" fillId="33" borderId="10" xfId="0" applyFont="1" applyFill="1" applyBorder="1" applyAlignment="1">
      <alignment horizontal="center"/>
    </xf>
    <xf numFmtId="0" fontId="84" fillId="33" borderId="12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74" fillId="35" borderId="0" xfId="0" applyNumberFormat="1" applyFont="1" applyFill="1" applyBorder="1" applyAlignment="1">
      <alignment horizontal="center"/>
    </xf>
    <xf numFmtId="49" fontId="73" fillId="35" borderId="0" xfId="0" applyNumberFormat="1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49" fontId="74" fillId="34" borderId="0" xfId="0" applyNumberFormat="1" applyFont="1" applyFill="1" applyBorder="1" applyAlignment="1">
      <alignment horizontal="center"/>
    </xf>
    <xf numFmtId="49" fontId="73" fillId="34" borderId="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81" fillId="35" borderId="10" xfId="0" applyFont="1" applyFill="1" applyBorder="1" applyAlignment="1">
      <alignment/>
    </xf>
    <xf numFmtId="0" fontId="85" fillId="35" borderId="10" xfId="0" applyFont="1" applyFill="1" applyBorder="1" applyAlignment="1">
      <alignment/>
    </xf>
    <xf numFmtId="0" fontId="77" fillId="35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7" fillId="35" borderId="10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85" fillId="34" borderId="10" xfId="0" applyFont="1" applyFill="1" applyBorder="1" applyAlignment="1">
      <alignment/>
    </xf>
    <xf numFmtId="0" fontId="84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4" fillId="0" borderId="0" xfId="0" applyFont="1" applyBorder="1" applyAlignment="1">
      <alignment horizontal="center"/>
    </xf>
    <xf numFmtId="49" fontId="85" fillId="34" borderId="0" xfId="0" applyNumberFormat="1" applyFont="1" applyFill="1" applyBorder="1" applyAlignment="1">
      <alignment horizontal="center"/>
    </xf>
    <xf numFmtId="49" fontId="86" fillId="34" borderId="0" xfId="0" applyNumberFormat="1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21" fontId="8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74" fillId="35" borderId="18" xfId="0" applyFont="1" applyFill="1" applyBorder="1" applyAlignment="1">
      <alignment/>
    </xf>
    <xf numFmtId="0" fontId="75" fillId="35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49" fontId="74" fillId="35" borderId="17" xfId="0" applyNumberFormat="1" applyFont="1" applyFill="1" applyBorder="1" applyAlignment="1">
      <alignment horizontal="center"/>
    </xf>
    <xf numFmtId="49" fontId="73" fillId="35" borderId="17" xfId="0" applyNumberFormat="1" applyFont="1" applyFill="1" applyBorder="1" applyAlignment="1">
      <alignment horizontal="center"/>
    </xf>
    <xf numFmtId="0" fontId="75" fillId="35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21" fontId="0" fillId="33" borderId="17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21" fontId="11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8" fillId="34" borderId="13" xfId="0" applyFont="1" applyFill="1" applyBorder="1" applyAlignment="1">
      <alignment/>
    </xf>
    <xf numFmtId="0" fontId="89" fillId="34" borderId="10" xfId="0" applyFont="1" applyFill="1" applyBorder="1" applyAlignment="1">
      <alignment/>
    </xf>
    <xf numFmtId="49" fontId="88" fillId="34" borderId="10" xfId="0" applyNumberFormat="1" applyFont="1" applyFill="1" applyBorder="1" applyAlignment="1">
      <alignment horizontal="center"/>
    </xf>
    <xf numFmtId="49" fontId="90" fillId="34" borderId="10" xfId="0" applyNumberFormat="1" applyFont="1" applyFill="1" applyBorder="1" applyAlignment="1">
      <alignment horizontal="center"/>
    </xf>
    <xf numFmtId="0" fontId="89" fillId="34" borderId="12" xfId="0" applyFont="1" applyFill="1" applyBorder="1" applyAlignment="1">
      <alignment/>
    </xf>
    <xf numFmtId="21" fontId="78" fillId="33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2">
      <selection activeCell="N146" sqref="N145:N146"/>
    </sheetView>
  </sheetViews>
  <sheetFormatPr defaultColWidth="9.140625" defaultRowHeight="12.75"/>
  <cols>
    <col min="1" max="1" width="3.8515625" style="2" customWidth="1"/>
    <col min="2" max="2" width="4.28125" style="9" customWidth="1"/>
    <col min="3" max="3" width="17.7109375" style="9" customWidth="1"/>
    <col min="4" max="4" width="10.8515625" style="4" customWidth="1"/>
    <col min="5" max="5" width="5.28125" style="4" customWidth="1"/>
    <col min="6" max="6" width="4.00390625" style="9" customWidth="1"/>
    <col min="7" max="7" width="5.421875" style="29" customWidth="1"/>
    <col min="8" max="8" width="19.7109375" style="4" customWidth="1"/>
    <col min="9" max="9" width="3.8515625" style="16" customWidth="1"/>
    <col min="10" max="10" width="3.57421875" style="16" customWidth="1"/>
    <col min="11" max="11" width="15.8515625" style="23" customWidth="1"/>
    <col min="12" max="16384" width="9.140625" style="4" customWidth="1"/>
  </cols>
  <sheetData>
    <row r="1" spans="1:11" s="3" customFormat="1" ht="6.75" customHeight="1" hidden="1">
      <c r="A1" s="1"/>
      <c r="B1" s="8"/>
      <c r="C1" s="8"/>
      <c r="F1" s="8" t="s">
        <v>5</v>
      </c>
      <c r="G1" s="25">
        <v>2020</v>
      </c>
      <c r="I1" s="15"/>
      <c r="J1" s="15"/>
      <c r="K1" s="22"/>
    </row>
    <row r="2" spans="1:11" s="17" customFormat="1" ht="30" customHeight="1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21" customFormat="1" ht="19.5" customHeight="1">
      <c r="A3" s="11"/>
      <c r="B3" s="30"/>
      <c r="C3" s="53" t="s">
        <v>18</v>
      </c>
      <c r="D3" s="20"/>
      <c r="E3" s="18" t="s">
        <v>12</v>
      </c>
      <c r="F3" s="30"/>
      <c r="G3" s="24"/>
      <c r="H3" s="20"/>
      <c r="I3" s="19"/>
      <c r="J3" s="19"/>
      <c r="K3" s="24"/>
    </row>
    <row r="4" spans="1:11" s="64" customFormat="1" ht="35.25" customHeight="1">
      <c r="A4" s="58" t="s">
        <v>16</v>
      </c>
      <c r="B4" s="59" t="s">
        <v>15</v>
      </c>
      <c r="C4" s="59" t="s">
        <v>9</v>
      </c>
      <c r="D4" s="33" t="s">
        <v>0</v>
      </c>
      <c r="E4" s="33" t="s">
        <v>10</v>
      </c>
      <c r="F4" s="60" t="s">
        <v>4</v>
      </c>
      <c r="G4" s="61" t="s">
        <v>8</v>
      </c>
      <c r="H4" s="33" t="s">
        <v>1</v>
      </c>
      <c r="I4" s="62" t="s">
        <v>6</v>
      </c>
      <c r="J4" s="63" t="s">
        <v>7</v>
      </c>
      <c r="K4" s="49" t="s">
        <v>2</v>
      </c>
    </row>
    <row r="5" spans="1:11" s="74" customFormat="1" ht="15" customHeight="1">
      <c r="A5" s="65">
        <v>1</v>
      </c>
      <c r="B5" s="66">
        <v>87</v>
      </c>
      <c r="C5" s="67" t="s">
        <v>85</v>
      </c>
      <c r="D5" s="68" t="s">
        <v>86</v>
      </c>
      <c r="E5" s="69" t="s">
        <v>11</v>
      </c>
      <c r="F5" s="66" t="s">
        <v>3</v>
      </c>
      <c r="G5" s="70">
        <v>1989</v>
      </c>
      <c r="H5" s="71" t="s">
        <v>87</v>
      </c>
      <c r="I5" s="72" t="str">
        <f aca="true" t="shared" si="0" ref="I5:I36">IF(F5="m",IF($G$1-$G5&lt;=17,"JM",IF($G$1-$G5&lt;=39,"A",IF($G$1-$G5&lt;=49,"B",IF($G$1-$G5&lt;=59,"C",IF($G$1-$G5&lt;=69,"D","E"))))),IF($G$1-$G5&lt;=17,"JŽ",IF($G$1-$G5&lt;=39,"F",IF($G$1-$G5&lt;=49,"G",IF($G$1-$G5&lt;=59,"H","I")))))</f>
        <v>A</v>
      </c>
      <c r="J5" s="72">
        <f>COUNTIF(I$5:I5,I5)</f>
        <v>1</v>
      </c>
      <c r="K5" s="73">
        <v>0.021030092592592597</v>
      </c>
    </row>
    <row r="6" spans="1:11" s="104" customFormat="1" ht="15" customHeight="1">
      <c r="A6" s="94">
        <v>2</v>
      </c>
      <c r="B6" s="95">
        <v>56</v>
      </c>
      <c r="C6" s="96" t="s">
        <v>65</v>
      </c>
      <c r="D6" s="97" t="s">
        <v>66</v>
      </c>
      <c r="E6" s="98" t="s">
        <v>11</v>
      </c>
      <c r="F6" s="95" t="s">
        <v>3</v>
      </c>
      <c r="G6" s="99">
        <v>1993</v>
      </c>
      <c r="H6" s="100" t="s">
        <v>36</v>
      </c>
      <c r="I6" s="101" t="str">
        <f t="shared" si="0"/>
        <v>A</v>
      </c>
      <c r="J6" s="102">
        <f>COUNTIF(I$5:I6,I6)</f>
        <v>2</v>
      </c>
      <c r="K6" s="103">
        <v>0.022754629629629628</v>
      </c>
    </row>
    <row r="7" spans="1:11" s="74" customFormat="1" ht="15" customHeight="1">
      <c r="A7" s="65">
        <v>3</v>
      </c>
      <c r="B7" s="75">
        <v>53</v>
      </c>
      <c r="C7" s="76" t="s">
        <v>62</v>
      </c>
      <c r="D7" s="77" t="s">
        <v>63</v>
      </c>
      <c r="E7" s="78" t="s">
        <v>11</v>
      </c>
      <c r="F7" s="75" t="s">
        <v>3</v>
      </c>
      <c r="G7" s="79">
        <v>1966</v>
      </c>
      <c r="H7" s="80" t="s">
        <v>64</v>
      </c>
      <c r="I7" s="72" t="str">
        <f t="shared" si="0"/>
        <v>C</v>
      </c>
      <c r="J7" s="81">
        <f>COUNTIF(I$5:I7,I7)</f>
        <v>1</v>
      </c>
      <c r="K7" s="73">
        <v>0.022858796296296294</v>
      </c>
    </row>
    <row r="8" spans="1:11" s="104" customFormat="1" ht="15" customHeight="1">
      <c r="A8" s="94">
        <v>4</v>
      </c>
      <c r="B8" s="95">
        <v>113</v>
      </c>
      <c r="C8" s="96" t="s">
        <v>97</v>
      </c>
      <c r="D8" s="97" t="s">
        <v>47</v>
      </c>
      <c r="E8" s="98" t="s">
        <v>11</v>
      </c>
      <c r="F8" s="95" t="s">
        <v>3</v>
      </c>
      <c r="G8" s="99">
        <v>1965</v>
      </c>
      <c r="H8" s="100" t="s">
        <v>96</v>
      </c>
      <c r="I8" s="101" t="str">
        <f t="shared" si="0"/>
        <v>C</v>
      </c>
      <c r="J8" s="102">
        <f>COUNTIF(I$5:I8,I8)</f>
        <v>2</v>
      </c>
      <c r="K8" s="103">
        <v>0.023067129629629632</v>
      </c>
    </row>
    <row r="9" spans="1:11" s="127" customFormat="1" ht="15" customHeight="1">
      <c r="A9" s="116">
        <v>5</v>
      </c>
      <c r="B9" s="117">
        <v>69</v>
      </c>
      <c r="C9" s="118" t="str">
        <f>_xlfn.IFERROR(__xludf.DUMMYFUNCTION("""COMPUTED_VALUE"""),"KORMANÍK")</f>
        <v>KORMANÍK</v>
      </c>
      <c r="D9" s="119" t="str">
        <f>_xlfn.IFERROR(__xludf.DUMMYFUNCTION("""COMPUTED_VALUE"""),"Martin")</f>
        <v>Martin</v>
      </c>
      <c r="E9" s="120" t="s">
        <v>11</v>
      </c>
      <c r="F9" s="121" t="s">
        <v>3</v>
      </c>
      <c r="G9" s="122">
        <f>_xlfn.IFERROR(__xludf.DUMMYFUNCTION("""COMPUTED_VALUE"""),1989)</f>
        <v>1989</v>
      </c>
      <c r="H9" s="123" t="str">
        <f>_xlfn.IFERROR(__xludf.DUMMYFUNCTION("""COMPUTED_VALUE"""),"MTC Vyšná Šebastová")</f>
        <v>MTC Vyšná Šebastová</v>
      </c>
      <c r="I9" s="124" t="str">
        <f t="shared" si="0"/>
        <v>A</v>
      </c>
      <c r="J9" s="125">
        <f>COUNTIF(I$5:I9,I9)</f>
        <v>3</v>
      </c>
      <c r="K9" s="126">
        <v>0.023171296296296297</v>
      </c>
    </row>
    <row r="10" spans="1:11" s="74" customFormat="1" ht="15" customHeight="1">
      <c r="A10" s="82">
        <v>6</v>
      </c>
      <c r="B10" s="75">
        <v>80</v>
      </c>
      <c r="C10" s="89" t="str">
        <f>_xlfn.IFERROR(__xludf.DUMMYFUNCTION("""COMPUTED_VALUE"""),"BRODŇANSKÝ")</f>
        <v>BRODŇANSKÝ</v>
      </c>
      <c r="D10" s="90" t="str">
        <f>_xlfn.IFERROR(__xludf.DUMMYFUNCTION("""COMPUTED_VALUE"""),"Dávid")</f>
        <v>Dávid</v>
      </c>
      <c r="E10" s="78" t="s">
        <v>11</v>
      </c>
      <c r="F10" s="91" t="s">
        <v>3</v>
      </c>
      <c r="G10" s="92">
        <f>_xlfn.IFERROR(__xludf.DUMMYFUNCTION("""COMPUTED_VALUE"""),2003)</f>
        <v>2003</v>
      </c>
      <c r="H10" s="93" t="str">
        <f>_xlfn.IFERROR(__xludf.DUMMYFUNCTION("""COMPUTED_VALUE"""),"Biatlon ŠK Prešov")</f>
        <v>Biatlon ŠK Prešov</v>
      </c>
      <c r="I10" s="72" t="str">
        <f t="shared" si="0"/>
        <v>JM</v>
      </c>
      <c r="J10" s="81">
        <f>COUNTIF(I$5:I10,I10)</f>
        <v>1</v>
      </c>
      <c r="K10" s="73">
        <v>0.023472222222222217</v>
      </c>
    </row>
    <row r="11" spans="1:12" s="74" customFormat="1" ht="15" customHeight="1">
      <c r="A11" s="65">
        <v>7</v>
      </c>
      <c r="B11" s="75">
        <v>112</v>
      </c>
      <c r="C11" s="76" t="s">
        <v>95</v>
      </c>
      <c r="D11" s="77" t="s">
        <v>22</v>
      </c>
      <c r="E11" s="78" t="s">
        <v>11</v>
      </c>
      <c r="F11" s="75" t="s">
        <v>3</v>
      </c>
      <c r="G11" s="79">
        <v>1979</v>
      </c>
      <c r="H11" s="80" t="s">
        <v>96</v>
      </c>
      <c r="I11" s="72" t="str">
        <f t="shared" si="0"/>
        <v>B</v>
      </c>
      <c r="J11" s="81">
        <f>COUNTIF(I$5:I11,I11)</f>
        <v>1</v>
      </c>
      <c r="K11" s="73">
        <v>0.02349537037037037</v>
      </c>
      <c r="L11" s="74" t="s">
        <v>33</v>
      </c>
    </row>
    <row r="12" spans="1:11" s="127" customFormat="1" ht="15" customHeight="1">
      <c r="A12" s="133">
        <v>8</v>
      </c>
      <c r="B12" s="117">
        <v>1</v>
      </c>
      <c r="C12" s="134" t="s">
        <v>54</v>
      </c>
      <c r="D12" s="135" t="s">
        <v>55</v>
      </c>
      <c r="E12" s="120" t="s">
        <v>11</v>
      </c>
      <c r="F12" s="117" t="s">
        <v>3</v>
      </c>
      <c r="G12" s="136">
        <v>1965</v>
      </c>
      <c r="H12" s="137" t="s">
        <v>31</v>
      </c>
      <c r="I12" s="124" t="str">
        <f t="shared" si="0"/>
        <v>C</v>
      </c>
      <c r="J12" s="125">
        <f>COUNTIF(I$5:I12,I12)</f>
        <v>3</v>
      </c>
      <c r="K12" s="126">
        <v>0.024537037037037038</v>
      </c>
    </row>
    <row r="13" spans="1:11" ht="15" customHeight="1">
      <c r="A13" s="10">
        <v>9</v>
      </c>
      <c r="B13" s="13">
        <v>30</v>
      </c>
      <c r="C13" s="47" t="s">
        <v>57</v>
      </c>
      <c r="D13" s="6" t="s">
        <v>58</v>
      </c>
      <c r="E13" s="7" t="s">
        <v>11</v>
      </c>
      <c r="F13" s="13" t="s">
        <v>3</v>
      </c>
      <c r="G13" s="28">
        <v>1985</v>
      </c>
      <c r="H13" s="43" t="s">
        <v>59</v>
      </c>
      <c r="I13" s="14" t="str">
        <f t="shared" si="0"/>
        <v>A</v>
      </c>
      <c r="J13" s="12">
        <f>COUNTIF(I$5:I13,I13)</f>
        <v>4</v>
      </c>
      <c r="K13" s="50">
        <v>0.025023148148148145</v>
      </c>
    </row>
    <row r="14" spans="1:11" ht="15" customHeight="1">
      <c r="A14" s="5">
        <v>10</v>
      </c>
      <c r="B14" s="13">
        <v>52</v>
      </c>
      <c r="C14" s="46" t="str">
        <f>_xlfn.IFERROR(__xludf.DUMMYFUNCTION("""COMPUTED_VALUE"""),"FEDOR")</f>
        <v>FEDOR</v>
      </c>
      <c r="D14" s="41" t="str">
        <f>_xlfn.IFERROR(__xludf.DUMMYFUNCTION("""COMPUTED_VALUE"""),"Matúš")</f>
        <v>Matúš</v>
      </c>
      <c r="E14" s="7" t="s">
        <v>11</v>
      </c>
      <c r="F14" s="31" t="s">
        <v>3</v>
      </c>
      <c r="G14" s="26">
        <f>_xlfn.IFERROR(__xludf.DUMMYFUNCTION("""COMPUTED_VALUE"""),1988)</f>
        <v>1988</v>
      </c>
      <c r="H14" s="37" t="str">
        <f>_xlfn.IFERROR(__xludf.DUMMYFUNCTION("""COMPUTED_VALUE"""),"Prešov")</f>
        <v>Prešov</v>
      </c>
      <c r="I14" s="14" t="str">
        <f t="shared" si="0"/>
        <v>A</v>
      </c>
      <c r="J14" s="12">
        <f>COUNTIF(I$5:I14,I14)</f>
        <v>5</v>
      </c>
      <c r="K14" s="50">
        <v>0.025023148148148145</v>
      </c>
    </row>
    <row r="15" spans="1:11" ht="15" customHeight="1">
      <c r="A15" s="10">
        <v>11</v>
      </c>
      <c r="B15" s="13">
        <v>132</v>
      </c>
      <c r="C15" s="45" t="str">
        <f>_xlfn.IFERROR(__xludf.DUMMYFUNCTION("""COMPUTED_VALUE"""),"OLEARNÍK")</f>
        <v>OLEARNÍK</v>
      </c>
      <c r="D15" s="40" t="str">
        <f>_xlfn.IFERROR(__xludf.DUMMYFUNCTION("""COMPUTED_VALUE"""),"Ľubomír")</f>
        <v>Ľubomír</v>
      </c>
      <c r="E15" s="7" t="s">
        <v>11</v>
      </c>
      <c r="F15" s="32" t="s">
        <v>3</v>
      </c>
      <c r="G15" s="27">
        <f>_xlfn.IFERROR(__xludf.DUMMYFUNCTION("""COMPUTED_VALUE"""),1982)</f>
        <v>1982</v>
      </c>
      <c r="H15" s="38" t="str">
        <f>_xlfn.IFERROR(__xludf.DUMMYFUNCTION("""COMPUTED_VALUE"""),"noviny GOLDEN")</f>
        <v>noviny GOLDEN</v>
      </c>
      <c r="I15" s="14" t="str">
        <f t="shared" si="0"/>
        <v>A</v>
      </c>
      <c r="J15" s="12">
        <f>COUNTIF(I$5:I15,I15)</f>
        <v>6</v>
      </c>
      <c r="K15" s="50">
        <v>0.025023148148148145</v>
      </c>
    </row>
    <row r="16" spans="1:11" ht="15" customHeight="1">
      <c r="A16" s="5">
        <v>12</v>
      </c>
      <c r="B16" s="13">
        <v>114</v>
      </c>
      <c r="C16" s="46" t="str">
        <f>_xlfn.IFERROR(__xludf.DUMMYFUNCTION("""COMPUTED_VALUE"""),"PLATKO")</f>
        <v>PLATKO</v>
      </c>
      <c r="D16" s="41" t="str">
        <f>_xlfn.IFERROR(__xludf.DUMMYFUNCTION("""COMPUTED_VALUE"""),"Matej")</f>
        <v>Matej</v>
      </c>
      <c r="E16" s="7" t="s">
        <v>11</v>
      </c>
      <c r="F16" s="31" t="s">
        <v>3</v>
      </c>
      <c r="G16" s="26">
        <f>_xlfn.IFERROR(__xludf.DUMMYFUNCTION("""COMPUTED_VALUE"""),1996)</f>
        <v>1996</v>
      </c>
      <c r="H16" s="37" t="str">
        <f>_xlfn.IFERROR(__xludf.DUMMYFUNCTION("""COMPUTED_VALUE"""),"TJ Sokol Ľubotice")</f>
        <v>TJ Sokol Ľubotice</v>
      </c>
      <c r="I16" s="14" t="str">
        <f t="shared" si="0"/>
        <v>A</v>
      </c>
      <c r="J16" s="12">
        <f>COUNTIF(I$5:I16,I16)</f>
        <v>7</v>
      </c>
      <c r="K16" s="50">
        <v>0.02508101851851852</v>
      </c>
    </row>
    <row r="17" spans="1:11" ht="15" customHeight="1">
      <c r="A17" s="10">
        <v>13</v>
      </c>
      <c r="B17" s="13">
        <v>2</v>
      </c>
      <c r="C17" s="44" t="s">
        <v>32</v>
      </c>
      <c r="D17" s="42" t="s">
        <v>56</v>
      </c>
      <c r="E17" s="7" t="s">
        <v>11</v>
      </c>
      <c r="F17" s="13" t="s">
        <v>3</v>
      </c>
      <c r="G17" s="28">
        <v>1967</v>
      </c>
      <c r="H17" s="39" t="s">
        <v>31</v>
      </c>
      <c r="I17" s="14" t="str">
        <f t="shared" si="0"/>
        <v>C</v>
      </c>
      <c r="J17" s="12">
        <f>COUNTIF(I$5:I17,I17)</f>
        <v>4</v>
      </c>
      <c r="K17" s="50">
        <v>0.02515046296296296</v>
      </c>
    </row>
    <row r="18" spans="1:11" ht="15" customHeight="1">
      <c r="A18" s="5">
        <v>14</v>
      </c>
      <c r="B18" s="13">
        <v>110</v>
      </c>
      <c r="C18" s="46" t="str">
        <f>_xlfn.IFERROR(__xludf.DUMMYFUNCTION("""COMPUTED_VALUE"""),"STAVAČ")</f>
        <v>STAVAČ</v>
      </c>
      <c r="D18" s="41" t="str">
        <f>_xlfn.IFERROR(__xludf.DUMMYFUNCTION("""COMPUTED_VALUE"""),"Róbert")</f>
        <v>Róbert</v>
      </c>
      <c r="E18" s="7" t="s">
        <v>11</v>
      </c>
      <c r="F18" s="31" t="s">
        <v>3</v>
      </c>
      <c r="G18" s="26">
        <f>_xlfn.IFERROR(__xludf.DUMMYFUNCTION("""COMPUTED_VALUE"""),1986)</f>
        <v>1986</v>
      </c>
      <c r="H18" s="37" t="str">
        <f>_xlfn.IFERROR(__xludf.DUMMYFUNCTION("""COMPUTED_VALUE"""),"Hi G Run")</f>
        <v>Hi G Run</v>
      </c>
      <c r="I18" s="14" t="str">
        <f t="shared" si="0"/>
        <v>A</v>
      </c>
      <c r="J18" s="12">
        <f>COUNTIF(I$5:I18,I18)</f>
        <v>8</v>
      </c>
      <c r="K18" s="50">
        <v>0.02517361111111111</v>
      </c>
    </row>
    <row r="19" spans="1:11" s="104" customFormat="1" ht="15" customHeight="1">
      <c r="A19" s="110">
        <v>15</v>
      </c>
      <c r="B19" s="95">
        <v>76</v>
      </c>
      <c r="C19" s="105" t="str">
        <f>_xlfn.IFERROR(__xludf.DUMMYFUNCTION("""COMPUTED_VALUE"""),"PASTOR")</f>
        <v>PASTOR</v>
      </c>
      <c r="D19" s="106" t="str">
        <f>_xlfn.IFERROR(__xludf.DUMMYFUNCTION("""COMPUTED_VALUE"""),"František")</f>
        <v>František</v>
      </c>
      <c r="E19" s="98" t="s">
        <v>11</v>
      </c>
      <c r="F19" s="107" t="s">
        <v>3</v>
      </c>
      <c r="G19" s="108">
        <f>_xlfn.IFERROR(__xludf.DUMMYFUNCTION("""COMPUTED_VALUE"""),1979)</f>
        <v>1979</v>
      </c>
      <c r="H19" s="109" t="str">
        <f>_xlfn.IFERROR(__xludf.DUMMYFUNCTION("""COMPUTED_VALUE"""),"MARAS team")</f>
        <v>MARAS team</v>
      </c>
      <c r="I19" s="101" t="str">
        <f t="shared" si="0"/>
        <v>B</v>
      </c>
      <c r="J19" s="102">
        <f>COUNTIF(I$5:I19,I19)</f>
        <v>2</v>
      </c>
      <c r="K19" s="103">
        <v>0.02539351851851852</v>
      </c>
    </row>
    <row r="20" spans="1:11" ht="15" customHeight="1">
      <c r="A20" s="5">
        <v>16</v>
      </c>
      <c r="B20" s="13">
        <v>131</v>
      </c>
      <c r="C20" s="46" t="str">
        <f>_xlfn.IFERROR(__xludf.DUMMYFUNCTION("""COMPUTED_VALUE"""),"ĎURÍČEK")</f>
        <v>ĎURÍČEK</v>
      </c>
      <c r="D20" s="41" t="str">
        <f>_xlfn.IFERROR(__xludf.DUMMYFUNCTION("""COMPUTED_VALUE"""),"Martin")</f>
        <v>Martin</v>
      </c>
      <c r="E20" s="7" t="s">
        <v>11</v>
      </c>
      <c r="F20" s="31" t="s">
        <v>3</v>
      </c>
      <c r="G20" s="26">
        <f>_xlfn.IFERROR(__xludf.DUMMYFUNCTION("""COMPUTED_VALUE"""),1986)</f>
        <v>1986</v>
      </c>
      <c r="H20" s="37" t="str">
        <f>_xlfn.IFERROR(__xludf.DUMMYFUNCTION("""COMPUTED_VALUE"""),"Gemerská Poloma")</f>
        <v>Gemerská Poloma</v>
      </c>
      <c r="I20" s="14" t="str">
        <f t="shared" si="0"/>
        <v>A</v>
      </c>
      <c r="J20" s="12">
        <f>COUNTIF(I$5:I20,I20)</f>
        <v>9</v>
      </c>
      <c r="K20" s="50">
        <v>0.025451388888888888</v>
      </c>
    </row>
    <row r="21" spans="1:11" s="74" customFormat="1" ht="15" customHeight="1">
      <c r="A21" s="65">
        <v>17</v>
      </c>
      <c r="B21" s="75">
        <v>29</v>
      </c>
      <c r="C21" s="88" t="str">
        <f>_xlfn.IFERROR(__xludf.DUMMYFUNCTION("""COMPUTED_VALUE"""),"ČONKOVÁ")</f>
        <v>ČONKOVÁ</v>
      </c>
      <c r="D21" s="84" t="str">
        <f>_xlfn.IFERROR(__xludf.DUMMYFUNCTION("""COMPUTED_VALUE"""),"Simona")</f>
        <v>Simona</v>
      </c>
      <c r="E21" s="78" t="s">
        <v>11</v>
      </c>
      <c r="F21" s="85" t="s">
        <v>23</v>
      </c>
      <c r="G21" s="86" t="s">
        <v>29</v>
      </c>
      <c r="H21" s="87" t="str">
        <f>_xlfn.IFERROR(__xludf.DUMMYFUNCTION("""COMPUTED_VALUE"""),"MARAS team")</f>
        <v>MARAS team</v>
      </c>
      <c r="I21" s="72" t="str">
        <f t="shared" si="0"/>
        <v>F</v>
      </c>
      <c r="J21" s="81">
        <f>COUNTIF(I$5:I21,I21)</f>
        <v>1</v>
      </c>
      <c r="K21" s="73">
        <v>0.025474537037037035</v>
      </c>
    </row>
    <row r="22" spans="1:11" ht="15" customHeight="1">
      <c r="A22" s="5">
        <v>18</v>
      </c>
      <c r="B22" s="13">
        <v>98</v>
      </c>
      <c r="C22" s="45" t="str">
        <f>_xlfn.IFERROR(__xludf.DUMMYFUNCTION("""COMPUTED_VALUE"""),"FEDOR")</f>
        <v>FEDOR</v>
      </c>
      <c r="D22" s="40" t="str">
        <f>_xlfn.IFERROR(__xludf.DUMMYFUNCTION("""COMPUTED_VALUE"""),"Ondrej")</f>
        <v>Ondrej</v>
      </c>
      <c r="E22" s="7" t="s">
        <v>11</v>
      </c>
      <c r="F22" s="32" t="s">
        <v>3</v>
      </c>
      <c r="G22" s="27">
        <f>_xlfn.IFERROR(__xludf.DUMMYFUNCTION("""COMPUTED_VALUE"""),1969)</f>
        <v>1969</v>
      </c>
      <c r="H22" s="38" t="str">
        <f>_xlfn.IFERROR(__xludf.DUMMYFUNCTION("""COMPUTED_VALUE"""),"3MRsport Prešov")</f>
        <v>3MRsport Prešov</v>
      </c>
      <c r="I22" s="14" t="str">
        <f t="shared" si="0"/>
        <v>C</v>
      </c>
      <c r="J22" s="12">
        <f>COUNTIF(I$5:I22,I22)</f>
        <v>5</v>
      </c>
      <c r="K22" s="50">
        <v>0.02550925925925926</v>
      </c>
    </row>
    <row r="23" spans="1:11" ht="15" customHeight="1">
      <c r="A23" s="10">
        <v>19</v>
      </c>
      <c r="B23" s="13">
        <v>15</v>
      </c>
      <c r="C23" s="45" t="str">
        <f>_xlfn.IFERROR(__xludf.DUMMYFUNCTION("""COMPUTED_VALUE"""),"KUNDRAČIK")</f>
        <v>KUNDRAČIK</v>
      </c>
      <c r="D23" s="40" t="str">
        <f>_xlfn.IFERROR(__xludf.DUMMYFUNCTION("""COMPUTED_VALUE"""),"Miroslav")</f>
        <v>Miroslav</v>
      </c>
      <c r="E23" s="7" t="s">
        <v>11</v>
      </c>
      <c r="F23" s="32" t="s">
        <v>3</v>
      </c>
      <c r="G23" s="27">
        <f>_xlfn.IFERROR(__xludf.DUMMYFUNCTION("""COMPUTED_VALUE"""),1985)</f>
        <v>1985</v>
      </c>
      <c r="H23" s="38" t="str">
        <f>_xlfn.IFERROR(__xludf.DUMMYFUNCTION("""COMPUTED_VALUE"""),"MARAS team")</f>
        <v>MARAS team</v>
      </c>
      <c r="I23" s="14" t="str">
        <f t="shared" si="0"/>
        <v>A</v>
      </c>
      <c r="J23" s="12">
        <f>COUNTIF(I$5:I23,I23)</f>
        <v>10</v>
      </c>
      <c r="K23" s="50">
        <v>0.025567129629629634</v>
      </c>
    </row>
    <row r="24" spans="1:11" ht="15" customHeight="1">
      <c r="A24" s="5">
        <v>20</v>
      </c>
      <c r="B24" s="13">
        <v>47</v>
      </c>
      <c r="C24" s="45" t="str">
        <f>_xlfn.IFERROR(__xludf.DUMMYFUNCTION("""COMPUTED_VALUE"""),"ŠTOBER")</f>
        <v>ŠTOBER</v>
      </c>
      <c r="D24" s="40" t="str">
        <f>_xlfn.IFERROR(__xludf.DUMMYFUNCTION("""COMPUTED_VALUE"""),"Peter")</f>
        <v>Peter</v>
      </c>
      <c r="E24" s="7" t="s">
        <v>11</v>
      </c>
      <c r="F24" s="32" t="s">
        <v>3</v>
      </c>
      <c r="G24" s="27">
        <f>_xlfn.IFERROR(__xludf.DUMMYFUNCTION("""COMPUTED_VALUE"""),1988)</f>
        <v>1988</v>
      </c>
      <c r="H24" s="38" t="str">
        <f>_xlfn.IFERROR(__xludf.DUMMYFUNCTION("""COMPUTED_VALUE"""),"Rimavská Sobota")</f>
        <v>Rimavská Sobota</v>
      </c>
      <c r="I24" s="14" t="str">
        <f t="shared" si="0"/>
        <v>A</v>
      </c>
      <c r="J24" s="12">
        <f>COUNTIF(I$5:I24,I24)</f>
        <v>11</v>
      </c>
      <c r="K24" s="50">
        <v>0.02578703703703704</v>
      </c>
    </row>
    <row r="25" spans="1:11" s="104" customFormat="1" ht="15" customHeight="1">
      <c r="A25" s="110">
        <v>21</v>
      </c>
      <c r="B25" s="95">
        <v>71</v>
      </c>
      <c r="C25" s="105" t="str">
        <f>_xlfn.IFERROR(__xludf.DUMMYFUNCTION("""COMPUTED_VALUE"""),"POLAŠČÍKOVÁ")</f>
        <v>POLAŠČÍKOVÁ</v>
      </c>
      <c r="D25" s="106" t="str">
        <f>_xlfn.IFERROR(__xludf.DUMMYFUNCTION("""COMPUTED_VALUE"""),"Miroslava")</f>
        <v>Miroslava</v>
      </c>
      <c r="E25" s="98" t="s">
        <v>11</v>
      </c>
      <c r="F25" s="107" t="s">
        <v>23</v>
      </c>
      <c r="G25" s="108">
        <f>_xlfn.IFERROR(__xludf.DUMMYFUNCTION("""COMPUTED_VALUE"""),1988)</f>
        <v>1988</v>
      </c>
      <c r="H25" s="109" t="str">
        <f>_xlfn.IFERROR(__xludf.DUMMYFUNCTION("""COMPUTED_VALUE"""),"Klub bežcov Stropkov")</f>
        <v>Klub bežcov Stropkov</v>
      </c>
      <c r="I25" s="101" t="str">
        <f t="shared" si="0"/>
        <v>F</v>
      </c>
      <c r="J25" s="102">
        <f>COUNTIF(I$5:I25,I25)</f>
        <v>2</v>
      </c>
      <c r="K25" s="103">
        <v>0.025833333333333333</v>
      </c>
    </row>
    <row r="26" spans="1:11" s="74" customFormat="1" ht="15" customHeight="1">
      <c r="A26" s="82">
        <v>22</v>
      </c>
      <c r="B26" s="75">
        <v>21</v>
      </c>
      <c r="C26" s="76" t="s">
        <v>46</v>
      </c>
      <c r="D26" s="77" t="s">
        <v>47</v>
      </c>
      <c r="E26" s="78" t="s">
        <v>11</v>
      </c>
      <c r="F26" s="75" t="s">
        <v>3</v>
      </c>
      <c r="G26" s="79">
        <v>1960</v>
      </c>
      <c r="H26" s="80" t="s">
        <v>48</v>
      </c>
      <c r="I26" s="72" t="str">
        <f t="shared" si="0"/>
        <v>D</v>
      </c>
      <c r="J26" s="81">
        <f>COUNTIF(I$5:I26,I26)</f>
        <v>1</v>
      </c>
      <c r="K26" s="73">
        <v>0.025902777777777775</v>
      </c>
    </row>
    <row r="27" spans="1:11" ht="15" customHeight="1">
      <c r="A27" s="10">
        <v>23</v>
      </c>
      <c r="B27" s="13">
        <v>88</v>
      </c>
      <c r="C27" s="45" t="str">
        <f>_xlfn.IFERROR(__xludf.DUMMYFUNCTION("""COMPUTED_VALUE"""),"KALINA")</f>
        <v>KALINA</v>
      </c>
      <c r="D27" s="40" t="str">
        <f>_xlfn.IFERROR(__xludf.DUMMYFUNCTION("""COMPUTED_VALUE"""),"Martin")</f>
        <v>Martin</v>
      </c>
      <c r="E27" s="7" t="s">
        <v>11</v>
      </c>
      <c r="F27" s="32" t="s">
        <v>3</v>
      </c>
      <c r="G27" s="27">
        <f>_xlfn.IFERROR(__xludf.DUMMYFUNCTION("""COMPUTED_VALUE"""),1964)</f>
        <v>1964</v>
      </c>
      <c r="H27" s="38" t="str">
        <f>_xlfn.IFERROR(__xludf.DUMMYFUNCTION("""COMPUTED_VALUE"""),"Iris Prešov")</f>
        <v>Iris Prešov</v>
      </c>
      <c r="I27" s="14" t="str">
        <f t="shared" si="0"/>
        <v>C</v>
      </c>
      <c r="J27" s="12">
        <f>COUNTIF(I$5:I27,I27)</f>
        <v>6</v>
      </c>
      <c r="K27" s="50">
        <v>0.025949074074074072</v>
      </c>
    </row>
    <row r="28" spans="1:11" s="104" customFormat="1" ht="15" customHeight="1">
      <c r="A28" s="94">
        <v>24</v>
      </c>
      <c r="B28" s="95">
        <v>36</v>
      </c>
      <c r="C28" s="111" t="str">
        <f>_xlfn.IFERROR(__xludf.DUMMYFUNCTION("""COMPUTED_VALUE"""),"VILHAN")</f>
        <v>VILHAN</v>
      </c>
      <c r="D28" s="112" t="str">
        <f>_xlfn.IFERROR(__xludf.DUMMYFUNCTION("""COMPUTED_VALUE"""),"Peter")</f>
        <v>Peter</v>
      </c>
      <c r="E28" s="98" t="s">
        <v>11</v>
      </c>
      <c r="F28" s="113" t="s">
        <v>3</v>
      </c>
      <c r="G28" s="114">
        <f>_xlfn.IFERROR(__xludf.DUMMYFUNCTION("""COMPUTED_VALUE"""),1954)</f>
        <v>1954</v>
      </c>
      <c r="H28" s="115" t="str">
        <f>_xlfn.IFERROR(__xludf.DUMMYFUNCTION("""COMPUTED_VALUE"""),"Košice")</f>
        <v>Košice</v>
      </c>
      <c r="I28" s="101" t="str">
        <f t="shared" si="0"/>
        <v>D</v>
      </c>
      <c r="J28" s="102">
        <f>COUNTIF(I$5:I28,I28)</f>
        <v>2</v>
      </c>
      <c r="K28" s="103">
        <v>0.02596064814814815</v>
      </c>
    </row>
    <row r="29" spans="1:11" s="74" customFormat="1" ht="15" customHeight="1">
      <c r="A29" s="65">
        <v>25</v>
      </c>
      <c r="B29" s="75">
        <v>28</v>
      </c>
      <c r="C29" s="83" t="str">
        <f>_xlfn.IFERROR(__xludf.DUMMYFUNCTION("""COMPUTED_VALUE"""),"KARPJÁKOVÁ")</f>
        <v>KARPJÁKOVÁ</v>
      </c>
      <c r="D29" s="84" t="str">
        <f>_xlfn.IFERROR(__xludf.DUMMYFUNCTION("""COMPUTED_VALUE"""),"Diana")</f>
        <v>Diana</v>
      </c>
      <c r="E29" s="78" t="s">
        <v>11</v>
      </c>
      <c r="F29" s="85" t="s">
        <v>23</v>
      </c>
      <c r="G29" s="86">
        <f>_xlfn.IFERROR(__xludf.DUMMYFUNCTION("""COMPUTED_VALUE"""),1975)</f>
        <v>1975</v>
      </c>
      <c r="H29" s="87" t="str">
        <f>_xlfn.IFERROR(__xludf.DUMMYFUNCTION("""COMPUTED_VALUE"""),"MARAS team")</f>
        <v>MARAS team</v>
      </c>
      <c r="I29" s="72" t="str">
        <f t="shared" si="0"/>
        <v>G</v>
      </c>
      <c r="J29" s="81">
        <f>COUNTIF(I$5:I29,I29)</f>
        <v>1</v>
      </c>
      <c r="K29" s="73">
        <v>0.025995370370370367</v>
      </c>
    </row>
    <row r="30" spans="1:11" ht="15" customHeight="1">
      <c r="A30" s="5">
        <v>26</v>
      </c>
      <c r="B30" s="13">
        <v>125</v>
      </c>
      <c r="C30" s="46" t="str">
        <f>_xlfn.IFERROR(__xludf.DUMMYFUNCTION("""COMPUTED_VALUE"""),"TÓTH")</f>
        <v>TÓTH</v>
      </c>
      <c r="D30" s="41" t="str">
        <f>_xlfn.IFERROR(__xludf.DUMMYFUNCTION("""COMPUTED_VALUE"""),"Mikuláš")</f>
        <v>Mikuláš</v>
      </c>
      <c r="E30" s="7" t="s">
        <v>11</v>
      </c>
      <c r="F30" s="31" t="s">
        <v>3</v>
      </c>
      <c r="G30" s="26">
        <f>_xlfn.IFERROR(__xludf.DUMMYFUNCTION("""COMPUTED_VALUE"""),1970)</f>
        <v>1970</v>
      </c>
      <c r="H30" s="37" t="str">
        <f>_xlfn.IFERROR(__xludf.DUMMYFUNCTION("""COMPUTED_VALUE"""),"MBK  Veľké Kapušany")</f>
        <v>MBK  Veľké Kapušany</v>
      </c>
      <c r="I30" s="14" t="str">
        <f t="shared" si="0"/>
        <v>C</v>
      </c>
      <c r="J30" s="12">
        <f>COUNTIF(I$5:I30,I30)</f>
        <v>7</v>
      </c>
      <c r="K30" s="50">
        <v>0.026030092592592594</v>
      </c>
    </row>
    <row r="31" spans="1:11" s="127" customFormat="1" ht="15" customHeight="1">
      <c r="A31" s="116">
        <v>27</v>
      </c>
      <c r="B31" s="117">
        <v>51</v>
      </c>
      <c r="C31" s="128" t="str">
        <f>_xlfn.IFERROR(__xludf.DUMMYFUNCTION("""COMPUTED_VALUE"""),"SIVUĽKA")</f>
        <v>SIVUĽKA</v>
      </c>
      <c r="D31" s="129" t="str">
        <f>_xlfn.IFERROR(__xludf.DUMMYFUNCTION("""COMPUTED_VALUE"""),"Martin")</f>
        <v>Martin</v>
      </c>
      <c r="E31" s="120" t="s">
        <v>11</v>
      </c>
      <c r="F31" s="130" t="s">
        <v>3</v>
      </c>
      <c r="G31" s="131">
        <f>_xlfn.IFERROR(__xludf.DUMMYFUNCTION("""COMPUTED_VALUE"""),1979)</f>
        <v>1979</v>
      </c>
      <c r="H31" s="132" t="str">
        <f>_xlfn.IFERROR(__xludf.DUMMYFUNCTION("""COMPUTED_VALUE"""),"MARAS team")</f>
        <v>MARAS team</v>
      </c>
      <c r="I31" s="124" t="str">
        <f t="shared" si="0"/>
        <v>B</v>
      </c>
      <c r="J31" s="125">
        <f>COUNTIF(I$5:I31,I31)</f>
        <v>3</v>
      </c>
      <c r="K31" s="126">
        <v>0.026053240740740738</v>
      </c>
    </row>
    <row r="32" spans="1:11" ht="15" customHeight="1">
      <c r="A32" s="5">
        <v>28</v>
      </c>
      <c r="B32" s="13">
        <v>86</v>
      </c>
      <c r="C32" s="46" t="str">
        <f>_xlfn.IFERROR(__xludf.DUMMYFUNCTION("""COMPUTED_VALUE"""),"BARTKO")</f>
        <v>BARTKO</v>
      </c>
      <c r="D32" s="41" t="str">
        <f>_xlfn.IFERROR(__xludf.DUMMYFUNCTION("""COMPUTED_VALUE"""),"Martin")</f>
        <v>Martin</v>
      </c>
      <c r="E32" s="7" t="s">
        <v>11</v>
      </c>
      <c r="F32" s="31" t="s">
        <v>3</v>
      </c>
      <c r="G32" s="26">
        <f>_xlfn.IFERROR(__xludf.DUMMYFUNCTION("""COMPUTED_VALUE"""),1976)</f>
        <v>1976</v>
      </c>
      <c r="H32" s="37" t="str">
        <f>_xlfn.IFERROR(__xludf.DUMMYFUNCTION("""COMPUTED_VALUE"""),"NW Running Prešov ")</f>
        <v>NW Running Prešov </v>
      </c>
      <c r="I32" s="14" t="str">
        <f t="shared" si="0"/>
        <v>B</v>
      </c>
      <c r="J32" s="12">
        <f>COUNTIF(I$5:I32,I32)</f>
        <v>4</v>
      </c>
      <c r="K32" s="50">
        <v>0.026099537037037036</v>
      </c>
    </row>
    <row r="33" spans="1:11" ht="15" customHeight="1">
      <c r="A33" s="10">
        <v>29</v>
      </c>
      <c r="B33" s="13">
        <v>5</v>
      </c>
      <c r="C33" s="46" t="str">
        <f>_xlfn.IFERROR(__xludf.DUMMYFUNCTION("""COMPUTED_VALUE"""),"KULCSÁR")</f>
        <v>KULCSÁR</v>
      </c>
      <c r="D33" s="41" t="str">
        <f>_xlfn.IFERROR(__xludf.DUMMYFUNCTION("""COMPUTED_VALUE"""),"Štefan")</f>
        <v>Štefan</v>
      </c>
      <c r="E33" s="7" t="s">
        <v>11</v>
      </c>
      <c r="F33" s="31" t="s">
        <v>3</v>
      </c>
      <c r="G33" s="26">
        <f>_xlfn.IFERROR(__xludf.DUMMYFUNCTION("""COMPUTED_VALUE"""),1982)</f>
        <v>1982</v>
      </c>
      <c r="H33" s="37" t="str">
        <f>_xlfn.IFERROR(__xludf.DUMMYFUNCTION("""COMPUTED_VALUE"""),"STG Prešov")</f>
        <v>STG Prešov</v>
      </c>
      <c r="I33" s="14" t="str">
        <f t="shared" si="0"/>
        <v>A</v>
      </c>
      <c r="J33" s="12">
        <f>COUNTIF(I$5:I33,I33)</f>
        <v>12</v>
      </c>
      <c r="K33" s="50">
        <v>0.026238425925925925</v>
      </c>
    </row>
    <row r="34" spans="1:11" s="127" customFormat="1" ht="15" customHeight="1">
      <c r="A34" s="133">
        <v>30</v>
      </c>
      <c r="B34" s="117">
        <v>92</v>
      </c>
      <c r="C34" s="128" t="str">
        <f>_xlfn.IFERROR(__xludf.DUMMYFUNCTION("""COMPUTED_VALUE"""),"KORMANÍK")</f>
        <v>KORMANÍK</v>
      </c>
      <c r="D34" s="129" t="str">
        <f>_xlfn.IFERROR(__xludf.DUMMYFUNCTION("""COMPUTED_VALUE"""),"Lukáš")</f>
        <v>Lukáš</v>
      </c>
      <c r="E34" s="120" t="s">
        <v>11</v>
      </c>
      <c r="F34" s="130" t="s">
        <v>3</v>
      </c>
      <c r="G34" s="131">
        <f>_xlfn.IFERROR(__xludf.DUMMYFUNCTION("""COMPUTED_VALUE"""),1957)</f>
        <v>1957</v>
      </c>
      <c r="H34" s="132" t="str">
        <f>_xlfn.IFERROR(__xludf.DUMMYFUNCTION("""COMPUTED_VALUE"""),"Sokol Ľubotice")</f>
        <v>Sokol Ľubotice</v>
      </c>
      <c r="I34" s="124" t="str">
        <f t="shared" si="0"/>
        <v>D</v>
      </c>
      <c r="J34" s="125">
        <f>COUNTIF(I$5:I34,I34)</f>
        <v>3</v>
      </c>
      <c r="K34" s="126">
        <v>0.026608796296296297</v>
      </c>
    </row>
    <row r="35" spans="1:11" ht="15" customHeight="1">
      <c r="A35" s="10">
        <v>31</v>
      </c>
      <c r="B35" s="13">
        <v>128</v>
      </c>
      <c r="C35" s="45" t="str">
        <f>_xlfn.IFERROR(__xludf.DUMMYFUNCTION("""COMPUTED_VALUE"""),"GABRI")</f>
        <v>GABRI</v>
      </c>
      <c r="D35" s="40" t="str">
        <f>_xlfn.IFERROR(__xludf.DUMMYFUNCTION("""COMPUTED_VALUE"""),"Lóránt")</f>
        <v>Lóránt</v>
      </c>
      <c r="E35" s="7" t="s">
        <v>11</v>
      </c>
      <c r="F35" s="32" t="s">
        <v>3</v>
      </c>
      <c r="G35" s="27">
        <f>_xlfn.IFERROR(__xludf.DUMMYFUNCTION("""COMPUTED_VALUE"""),1988)</f>
        <v>1988</v>
      </c>
      <c r="H35" s="38" t="str">
        <f>_xlfn.IFERROR(__xludf.DUMMYFUNCTION("""COMPUTED_VALUE"""),"MBK Veľké Kapušany")</f>
        <v>MBK Veľké Kapušany</v>
      </c>
      <c r="I35" s="14" t="str">
        <f t="shared" si="0"/>
        <v>A</v>
      </c>
      <c r="J35" s="12">
        <f>COUNTIF(I$5:I35,I35)</f>
        <v>13</v>
      </c>
      <c r="K35" s="50">
        <v>0.02670138888888889</v>
      </c>
    </row>
    <row r="36" spans="1:11" ht="15" customHeight="1">
      <c r="A36" s="5">
        <v>32</v>
      </c>
      <c r="B36" s="13">
        <v>85</v>
      </c>
      <c r="C36" s="46" t="str">
        <f>_xlfn.IFERROR(__xludf.DUMMYFUNCTION("""COMPUTED_VALUE"""),"GIC")</f>
        <v>GIC</v>
      </c>
      <c r="D36" s="41" t="str">
        <f>_xlfn.IFERROR(__xludf.DUMMYFUNCTION("""COMPUTED_VALUE"""),"Jakub")</f>
        <v>Jakub</v>
      </c>
      <c r="E36" s="7" t="s">
        <v>11</v>
      </c>
      <c r="F36" s="31" t="s">
        <v>3</v>
      </c>
      <c r="G36" s="26">
        <f>_xlfn.IFERROR(__xludf.DUMMYFUNCTION("""COMPUTED_VALUE"""),1986)</f>
        <v>1986</v>
      </c>
      <c r="H36" s="37" t="str">
        <f>_xlfn.IFERROR(__xludf.DUMMYFUNCTION("""COMPUTED_VALUE"""),"Prešov")</f>
        <v>Prešov</v>
      </c>
      <c r="I36" s="14" t="str">
        <f t="shared" si="0"/>
        <v>A</v>
      </c>
      <c r="J36" s="12">
        <f>COUNTIF(I$5:I36,I36)</f>
        <v>14</v>
      </c>
      <c r="K36" s="50">
        <v>0.026747685185185183</v>
      </c>
    </row>
    <row r="37" spans="1:11" ht="15" customHeight="1">
      <c r="A37" s="10">
        <v>33</v>
      </c>
      <c r="B37" s="13">
        <v>48</v>
      </c>
      <c r="C37" s="45" t="str">
        <f>_xlfn.IFERROR(__xludf.DUMMYFUNCTION("""COMPUTED_VALUE"""),"SIDORJAK")</f>
        <v>SIDORJAK</v>
      </c>
      <c r="D37" s="40" t="str">
        <f>_xlfn.IFERROR(__xludf.DUMMYFUNCTION("""COMPUTED_VALUE"""),"Lukáš")</f>
        <v>Lukáš</v>
      </c>
      <c r="E37" s="7" t="s">
        <v>11</v>
      </c>
      <c r="F37" s="32" t="s">
        <v>3</v>
      </c>
      <c r="G37" s="27">
        <f>_xlfn.IFERROR(__xludf.DUMMYFUNCTION("""COMPUTED_VALUE"""),1992)</f>
        <v>1992</v>
      </c>
      <c r="H37" s="38" t="str">
        <f>_xlfn.IFERROR(__xludf.DUMMYFUNCTION("""COMPUTED_VALUE"""),"Prešov ")</f>
        <v>Prešov </v>
      </c>
      <c r="I37" s="14" t="str">
        <f aca="true" t="shared" si="1" ref="I37:I68">IF(F37="m",IF($G$1-$G37&lt;=17,"JM",IF($G$1-$G37&lt;=39,"A",IF($G$1-$G37&lt;=49,"B",IF($G$1-$G37&lt;=59,"C",IF($G$1-$G37&lt;=69,"D","E"))))),IF($G$1-$G37&lt;=17,"JŽ",IF($G$1-$G37&lt;=39,"F",IF($G$1-$G37&lt;=49,"G",IF($G$1-$G37&lt;=59,"H","I")))))</f>
        <v>A</v>
      </c>
      <c r="J37" s="12">
        <f>COUNTIF(I$5:I37,I37)</f>
        <v>15</v>
      </c>
      <c r="K37" s="50">
        <v>0.02684027777777778</v>
      </c>
    </row>
    <row r="38" spans="1:11" s="104" customFormat="1" ht="15" customHeight="1">
      <c r="A38" s="94">
        <v>34</v>
      </c>
      <c r="B38" s="95">
        <v>106</v>
      </c>
      <c r="C38" s="111" t="str">
        <f>_xlfn.IFERROR(__xludf.DUMMYFUNCTION("""COMPUTED_VALUE"""),"KOVALÍKOVÁ")</f>
        <v>KOVALÍKOVÁ</v>
      </c>
      <c r="D38" s="112" t="str">
        <f>_xlfn.IFERROR(__xludf.DUMMYFUNCTION("""COMPUTED_VALUE"""),"Martina")</f>
        <v>Martina</v>
      </c>
      <c r="E38" s="98" t="s">
        <v>11</v>
      </c>
      <c r="F38" s="113" t="s">
        <v>23</v>
      </c>
      <c r="G38" s="114">
        <f>_xlfn.IFERROR(__xludf.DUMMYFUNCTION("""COMPUTED_VALUE"""),1977)</f>
        <v>1977</v>
      </c>
      <c r="H38" s="115" t="str">
        <f>_xlfn.IFERROR(__xludf.DUMMYFUNCTION("""COMPUTED_VALUE"""),"Prešov")</f>
        <v>Prešov</v>
      </c>
      <c r="I38" s="101" t="str">
        <f t="shared" si="1"/>
        <v>G</v>
      </c>
      <c r="J38" s="102">
        <f>COUNTIF(I$5:I38,I38)</f>
        <v>2</v>
      </c>
      <c r="K38" s="103">
        <v>0.026863425925925926</v>
      </c>
    </row>
    <row r="39" spans="1:11" s="127" customFormat="1" ht="15" customHeight="1">
      <c r="A39" s="116">
        <v>35</v>
      </c>
      <c r="B39" s="117">
        <v>43</v>
      </c>
      <c r="C39" s="128" t="str">
        <f>_xlfn.IFERROR(__xludf.DUMMYFUNCTION("""COMPUTED_VALUE"""),"ŠAMULÁKOVÁ")</f>
        <v>ŠAMULÁKOVÁ</v>
      </c>
      <c r="D39" s="129" t="str">
        <f>_xlfn.IFERROR(__xludf.DUMMYFUNCTION("""COMPUTED_VALUE"""),"Petra")</f>
        <v>Petra</v>
      </c>
      <c r="E39" s="120" t="s">
        <v>11</v>
      </c>
      <c r="F39" s="130" t="s">
        <v>23</v>
      </c>
      <c r="G39" s="131">
        <f>_xlfn.IFERROR(__xludf.DUMMYFUNCTION("""COMPUTED_VALUE"""),1982)</f>
        <v>1982</v>
      </c>
      <c r="H39" s="132" t="str">
        <f>_xlfn.IFERROR(__xludf.DUMMYFUNCTION("""COMPUTED_VALUE"""),"Košice")</f>
        <v>Košice</v>
      </c>
      <c r="I39" s="124" t="str">
        <f t="shared" si="1"/>
        <v>F</v>
      </c>
      <c r="J39" s="125">
        <f>COUNTIF(I$5:I39,I39)</f>
        <v>3</v>
      </c>
      <c r="K39" s="126">
        <v>0.02695601851851852</v>
      </c>
    </row>
    <row r="40" spans="1:11" ht="15" customHeight="1">
      <c r="A40" s="5">
        <v>36</v>
      </c>
      <c r="B40" s="13">
        <v>83</v>
      </c>
      <c r="C40" s="45" t="str">
        <f>_xlfn.IFERROR(__xludf.DUMMYFUNCTION("""COMPUTED_VALUE"""),"KLUS")</f>
        <v>KLUS</v>
      </c>
      <c r="D40" s="40" t="str">
        <f>_xlfn.IFERROR(__xludf.DUMMYFUNCTION("""COMPUTED_VALUE"""),"Marek")</f>
        <v>Marek</v>
      </c>
      <c r="E40" s="7" t="s">
        <v>11</v>
      </c>
      <c r="F40" s="32" t="s">
        <v>3</v>
      </c>
      <c r="G40" s="27">
        <f>_xlfn.IFERROR(__xludf.DUMMYFUNCTION("""COMPUTED_VALUE"""),1976)</f>
        <v>1976</v>
      </c>
      <c r="H40" s="38" t="str">
        <f>_xlfn.IFERROR(__xludf.DUMMYFUNCTION("""COMPUTED_VALUE"""),"Prešov")</f>
        <v>Prešov</v>
      </c>
      <c r="I40" s="14" t="str">
        <f t="shared" si="1"/>
        <v>B</v>
      </c>
      <c r="J40" s="12">
        <f>COUNTIF(I$5:I40,I40)</f>
        <v>5</v>
      </c>
      <c r="K40" s="50">
        <v>0.02710648148148148</v>
      </c>
    </row>
    <row r="41" spans="1:11" s="104" customFormat="1" ht="15" customHeight="1">
      <c r="A41" s="110">
        <v>37</v>
      </c>
      <c r="B41" s="95">
        <v>120</v>
      </c>
      <c r="C41" s="111" t="str">
        <f>_xlfn.IFERROR(__xludf.DUMMYFUNCTION("""COMPUTED_VALUE"""),"HASSAN")</f>
        <v>HASSAN</v>
      </c>
      <c r="D41" s="112" t="str">
        <f>_xlfn.IFERROR(__xludf.DUMMYFUNCTION("""COMPUTED_VALUE"""),"Jakob")</f>
        <v>Jakob</v>
      </c>
      <c r="E41" s="98" t="s">
        <v>11</v>
      </c>
      <c r="F41" s="113" t="s">
        <v>3</v>
      </c>
      <c r="G41" s="114">
        <f>_xlfn.IFERROR(__xludf.DUMMYFUNCTION("""COMPUTED_VALUE"""),2003)</f>
        <v>2003</v>
      </c>
      <c r="H41" s="115" t="str">
        <f>_xlfn.IFERROR(__xludf.DUMMYFUNCTION("""COMPUTED_VALUE"""),"Mnichov")</f>
        <v>Mnichov</v>
      </c>
      <c r="I41" s="101" t="str">
        <f t="shared" si="1"/>
        <v>JM</v>
      </c>
      <c r="J41" s="102">
        <f>COUNTIF(I$5:I41,I41)</f>
        <v>2</v>
      </c>
      <c r="K41" s="103">
        <v>0.027256944444444445</v>
      </c>
    </row>
    <row r="42" spans="1:11" ht="15" customHeight="1">
      <c r="A42" s="5">
        <v>38</v>
      </c>
      <c r="B42" s="13">
        <v>12</v>
      </c>
      <c r="C42" s="46" t="str">
        <f>_xlfn.IFERROR(__xludf.DUMMYFUNCTION("""COMPUTED_VALUE"""),"ODELGOVÁ")</f>
        <v>ODELGOVÁ</v>
      </c>
      <c r="D42" s="41" t="str">
        <f>_xlfn.IFERROR(__xludf.DUMMYFUNCTION("""COMPUTED_VALUE"""),"Silvia")</f>
        <v>Silvia</v>
      </c>
      <c r="E42" s="7" t="s">
        <v>11</v>
      </c>
      <c r="F42" s="31" t="s">
        <v>23</v>
      </c>
      <c r="G42" s="26">
        <f>_xlfn.IFERROR(__xludf.DUMMYFUNCTION("""COMPUTED_VALUE"""),1982)</f>
        <v>1982</v>
      </c>
      <c r="H42" s="37" t="str">
        <f>_xlfn.IFERROR(__xludf.DUMMYFUNCTION("""COMPUTED_VALUE"""),"MARAS team")</f>
        <v>MARAS team</v>
      </c>
      <c r="I42" s="14" t="str">
        <f t="shared" si="1"/>
        <v>F</v>
      </c>
      <c r="J42" s="12">
        <f>COUNTIF(I$5:I42,I42)</f>
        <v>4</v>
      </c>
      <c r="K42" s="50">
        <v>0.027291666666666662</v>
      </c>
    </row>
    <row r="43" spans="1:11" ht="15" customHeight="1">
      <c r="A43" s="10">
        <v>39</v>
      </c>
      <c r="B43" s="13">
        <v>4</v>
      </c>
      <c r="C43" s="45" t="str">
        <f>_xlfn.IFERROR(__xludf.DUMMYFUNCTION("""COMPUTED_VALUE"""),"TRAMITA")</f>
        <v>TRAMITA</v>
      </c>
      <c r="D43" s="40" t="str">
        <f>_xlfn.IFERROR(__xludf.DUMMYFUNCTION("""COMPUTED_VALUE"""),"Slavomír")</f>
        <v>Slavomír</v>
      </c>
      <c r="E43" s="7" t="s">
        <v>11</v>
      </c>
      <c r="F43" s="32" t="s">
        <v>3</v>
      </c>
      <c r="G43" s="27">
        <f>_xlfn.IFERROR(__xludf.DUMMYFUNCTION("""COMPUTED_VALUE"""),1978)</f>
        <v>1978</v>
      </c>
      <c r="H43" s="38" t="str">
        <f>_xlfn.IFERROR(__xludf.DUMMYFUNCTION("""COMPUTED_VALUE"""),"STG Prešov")</f>
        <v>STG Prešov</v>
      </c>
      <c r="I43" s="14" t="str">
        <f t="shared" si="1"/>
        <v>B</v>
      </c>
      <c r="J43" s="12">
        <f>COUNTIF(I$5:I43,I43)</f>
        <v>6</v>
      </c>
      <c r="K43" s="50">
        <v>0.027395833333333338</v>
      </c>
    </row>
    <row r="44" spans="1:11" s="127" customFormat="1" ht="15" customHeight="1">
      <c r="A44" s="133">
        <v>40</v>
      </c>
      <c r="B44" s="117">
        <v>74</v>
      </c>
      <c r="C44" s="134" t="s">
        <v>75</v>
      </c>
      <c r="D44" s="135" t="s">
        <v>76</v>
      </c>
      <c r="E44" s="120" t="s">
        <v>11</v>
      </c>
      <c r="F44" s="117" t="s">
        <v>23</v>
      </c>
      <c r="G44" s="136">
        <v>1979</v>
      </c>
      <c r="H44" s="137" t="s">
        <v>77</v>
      </c>
      <c r="I44" s="124" t="str">
        <f t="shared" si="1"/>
        <v>G</v>
      </c>
      <c r="J44" s="125">
        <f>COUNTIF(I$5:I44,I44)</f>
        <v>3</v>
      </c>
      <c r="K44" s="126">
        <v>0.027476851851851853</v>
      </c>
    </row>
    <row r="45" spans="1:11" ht="15" customHeight="1">
      <c r="A45" s="10">
        <v>41</v>
      </c>
      <c r="B45" s="13">
        <v>75</v>
      </c>
      <c r="C45" s="44" t="s">
        <v>78</v>
      </c>
      <c r="D45" s="42" t="s">
        <v>79</v>
      </c>
      <c r="E45" s="7" t="s">
        <v>11</v>
      </c>
      <c r="F45" s="13" t="s">
        <v>3</v>
      </c>
      <c r="G45" s="28">
        <v>1980</v>
      </c>
      <c r="H45" s="39" t="s">
        <v>77</v>
      </c>
      <c r="I45" s="14" t="str">
        <f t="shared" si="1"/>
        <v>B</v>
      </c>
      <c r="J45" s="12">
        <f>COUNTIF(I$5:I45,I45)</f>
        <v>7</v>
      </c>
      <c r="K45" s="50">
        <v>0.027476851851851853</v>
      </c>
    </row>
    <row r="46" spans="1:11" ht="15" customHeight="1">
      <c r="A46" s="5">
        <v>42</v>
      </c>
      <c r="B46" s="13">
        <v>115</v>
      </c>
      <c r="C46" s="45" t="str">
        <f>_xlfn.IFERROR(__xludf.DUMMYFUNCTION("""COMPUTED_VALUE"""),"KIZEK")</f>
        <v>KIZEK</v>
      </c>
      <c r="D46" s="40" t="str">
        <f>_xlfn.IFERROR(__xludf.DUMMYFUNCTION("""COMPUTED_VALUE"""),"Peter")</f>
        <v>Peter</v>
      </c>
      <c r="E46" s="7" t="s">
        <v>11</v>
      </c>
      <c r="F46" s="32" t="s">
        <v>3</v>
      </c>
      <c r="G46" s="27">
        <f>_xlfn.IFERROR(__xludf.DUMMYFUNCTION("""COMPUTED_VALUE"""),2000)</f>
        <v>2000</v>
      </c>
      <c r="H46" s="38" t="str">
        <f>_xlfn.IFERROR(__xludf.DUMMYFUNCTION("""COMPUTED_VALUE"""),"TJ Sokol Ľubotice")</f>
        <v>TJ Sokol Ľubotice</v>
      </c>
      <c r="I46" s="14" t="str">
        <f t="shared" si="1"/>
        <v>A</v>
      </c>
      <c r="J46" s="12">
        <f>COUNTIF(I$5:I46,I46)</f>
        <v>16</v>
      </c>
      <c r="K46" s="50">
        <v>0.02758101851851852</v>
      </c>
    </row>
    <row r="47" spans="1:11" ht="15" customHeight="1">
      <c r="A47" s="10">
        <v>43</v>
      </c>
      <c r="B47" s="13">
        <v>6</v>
      </c>
      <c r="C47" s="46" t="str">
        <f>_xlfn.IFERROR(__xludf.DUMMYFUNCTION("""COMPUTED_VALUE"""),"STAHOVEC")</f>
        <v>STAHOVEC</v>
      </c>
      <c r="D47" s="41" t="str">
        <f>_xlfn.IFERROR(__xludf.DUMMYFUNCTION("""COMPUTED_VALUE"""),"Dominika")</f>
        <v>Dominika</v>
      </c>
      <c r="E47" s="7" t="s">
        <v>11</v>
      </c>
      <c r="F47" s="31" t="s">
        <v>23</v>
      </c>
      <c r="G47" s="26">
        <f>_xlfn.IFERROR(__xludf.DUMMYFUNCTION("""COMPUTED_VALUE"""),1987)</f>
        <v>1987</v>
      </c>
      <c r="H47" s="37" t="str">
        <f>_xlfn.IFERROR(__xludf.DUMMYFUNCTION("""COMPUTED_VALUE"""),"MARAS team")</f>
        <v>MARAS team</v>
      </c>
      <c r="I47" s="14" t="str">
        <f t="shared" si="1"/>
        <v>F</v>
      </c>
      <c r="J47" s="12">
        <f>COUNTIF(I$5:I47,I47)</f>
        <v>5</v>
      </c>
      <c r="K47" s="50">
        <v>0.02763888888888889</v>
      </c>
    </row>
    <row r="48" spans="1:11" ht="15" customHeight="1">
      <c r="A48" s="5">
        <v>44</v>
      </c>
      <c r="B48" s="13">
        <v>10</v>
      </c>
      <c r="C48" s="44" t="s">
        <v>37</v>
      </c>
      <c r="D48" s="42" t="s">
        <v>38</v>
      </c>
      <c r="E48" s="7" t="s">
        <v>11</v>
      </c>
      <c r="F48" s="13" t="s">
        <v>3</v>
      </c>
      <c r="G48" s="28">
        <v>1976</v>
      </c>
      <c r="H48" s="39" t="s">
        <v>39</v>
      </c>
      <c r="I48" s="14" t="str">
        <f t="shared" si="1"/>
        <v>B</v>
      </c>
      <c r="J48" s="12">
        <f>COUNTIF(I$5:I48,I48)</f>
        <v>8</v>
      </c>
      <c r="K48" s="50">
        <v>0.02766203703703704</v>
      </c>
    </row>
    <row r="49" spans="1:11" ht="15" customHeight="1">
      <c r="A49" s="10">
        <v>45</v>
      </c>
      <c r="B49" s="13">
        <v>14</v>
      </c>
      <c r="C49" s="44" t="s">
        <v>40</v>
      </c>
      <c r="D49" s="42" t="s">
        <v>41</v>
      </c>
      <c r="E49" s="7" t="s">
        <v>11</v>
      </c>
      <c r="F49" s="13" t="s">
        <v>3</v>
      </c>
      <c r="G49" s="28">
        <v>1996</v>
      </c>
      <c r="H49" s="39" t="s">
        <v>26</v>
      </c>
      <c r="I49" s="14" t="str">
        <f t="shared" si="1"/>
        <v>A</v>
      </c>
      <c r="J49" s="12">
        <f>COUNTIF(I$5:I49,I49)</f>
        <v>17</v>
      </c>
      <c r="K49" s="50">
        <v>0.02773148148148148</v>
      </c>
    </row>
    <row r="50" spans="1:11" ht="15" customHeight="1">
      <c r="A50" s="5">
        <v>46</v>
      </c>
      <c r="B50" s="13">
        <v>103</v>
      </c>
      <c r="C50" s="46" t="str">
        <f>_xlfn.IFERROR(__xludf.DUMMYFUNCTION("""COMPUTED_VALUE"""),"COLLINS")</f>
        <v>COLLINS</v>
      </c>
      <c r="D50" s="41" t="str">
        <f>_xlfn.IFERROR(__xludf.DUMMYFUNCTION("""COMPUTED_VALUE"""),"Ben")</f>
        <v>Ben</v>
      </c>
      <c r="E50" s="7" t="s">
        <v>11</v>
      </c>
      <c r="F50" s="31" t="s">
        <v>3</v>
      </c>
      <c r="G50" s="26">
        <f>_xlfn.IFERROR(__xludf.DUMMYFUNCTION("""COMPUTED_VALUE"""),1968)</f>
        <v>1968</v>
      </c>
      <c r="H50" s="37" t="str">
        <f>_xlfn.IFERROR(__xludf.DUMMYFUNCTION("""COMPUTED_VALUE"""),"OBS Prešov")</f>
        <v>OBS Prešov</v>
      </c>
      <c r="I50" s="14" t="str">
        <f t="shared" si="1"/>
        <v>C</v>
      </c>
      <c r="J50" s="12">
        <f>COUNTIF(I$5:I50,I50)</f>
        <v>8</v>
      </c>
      <c r="K50" s="50">
        <v>0.027951388888888887</v>
      </c>
    </row>
    <row r="51" spans="1:11" ht="15" customHeight="1">
      <c r="A51" s="10">
        <v>47</v>
      </c>
      <c r="B51" s="13">
        <v>90</v>
      </c>
      <c r="C51" s="44" t="s">
        <v>90</v>
      </c>
      <c r="D51" s="42" t="s">
        <v>89</v>
      </c>
      <c r="E51" s="7" t="s">
        <v>11</v>
      </c>
      <c r="F51" s="13" t="s">
        <v>23</v>
      </c>
      <c r="G51" s="28">
        <v>1984</v>
      </c>
      <c r="H51" s="39" t="s">
        <v>26</v>
      </c>
      <c r="I51" s="14" t="str">
        <f t="shared" si="1"/>
        <v>F</v>
      </c>
      <c r="J51" s="12">
        <f>COUNTIF(I$5:I51,I51)</f>
        <v>6</v>
      </c>
      <c r="K51" s="50">
        <v>0.02809027777777778</v>
      </c>
    </row>
    <row r="52" spans="1:11" ht="15" customHeight="1">
      <c r="A52" s="5">
        <v>48</v>
      </c>
      <c r="B52" s="13">
        <v>42</v>
      </c>
      <c r="C52" s="46" t="str">
        <f>_xlfn.IFERROR(__xludf.DUMMYFUNCTION("""COMPUTED_VALUE"""),"KMECOVÁ")</f>
        <v>KMECOVÁ</v>
      </c>
      <c r="D52" s="41" t="str">
        <f>_xlfn.IFERROR(__xludf.DUMMYFUNCTION("""COMPUTED_VALUE"""),"Daniela")</f>
        <v>Daniela</v>
      </c>
      <c r="E52" s="7" t="s">
        <v>11</v>
      </c>
      <c r="F52" s="31" t="s">
        <v>23</v>
      </c>
      <c r="G52" s="26">
        <f>_xlfn.IFERROR(__xludf.DUMMYFUNCTION("""COMPUTED_VALUE"""),1990)</f>
        <v>1990</v>
      </c>
      <c r="H52" s="37" t="str">
        <f>_xlfn.IFERROR(__xludf.DUMMYFUNCTION("""COMPUTED_VALUE"""),"Maras team")</f>
        <v>Maras team</v>
      </c>
      <c r="I52" s="14" t="str">
        <f t="shared" si="1"/>
        <v>F</v>
      </c>
      <c r="J52" s="12">
        <f>COUNTIF(I$5:I52,I52)</f>
        <v>7</v>
      </c>
      <c r="K52" s="50">
        <v>0.028182870370370372</v>
      </c>
    </row>
    <row r="53" spans="1:11" s="127" customFormat="1" ht="15" customHeight="1">
      <c r="A53" s="116">
        <v>49</v>
      </c>
      <c r="B53" s="117">
        <v>24</v>
      </c>
      <c r="C53" s="134" t="s">
        <v>49</v>
      </c>
      <c r="D53" s="135" t="s">
        <v>50</v>
      </c>
      <c r="E53" s="120" t="s">
        <v>11</v>
      </c>
      <c r="F53" s="117" t="s">
        <v>3</v>
      </c>
      <c r="G53" s="136">
        <v>2006</v>
      </c>
      <c r="H53" s="137" t="s">
        <v>26</v>
      </c>
      <c r="I53" s="124" t="str">
        <f t="shared" si="1"/>
        <v>JM</v>
      </c>
      <c r="J53" s="125">
        <f>COUNTIF(I$5:I53,I53)</f>
        <v>3</v>
      </c>
      <c r="K53" s="126">
        <v>0.02837962962962963</v>
      </c>
    </row>
    <row r="54" spans="1:11" ht="15" customHeight="1">
      <c r="A54" s="5">
        <v>50</v>
      </c>
      <c r="B54" s="13">
        <v>111</v>
      </c>
      <c r="C54" s="45" t="str">
        <f>_xlfn.IFERROR(__xludf.DUMMYFUNCTION("""COMPUTED_VALUE"""),"KOMÁR")</f>
        <v>KOMÁR</v>
      </c>
      <c r="D54" s="40" t="str">
        <f>_xlfn.IFERROR(__xludf.DUMMYFUNCTION("""COMPUTED_VALUE"""),"Pavol")</f>
        <v>Pavol</v>
      </c>
      <c r="E54" s="7" t="s">
        <v>11</v>
      </c>
      <c r="F54" s="32" t="s">
        <v>3</v>
      </c>
      <c r="G54" s="27">
        <f>_xlfn.IFERROR(__xludf.DUMMYFUNCTION("""COMPUTED_VALUE"""),1965)</f>
        <v>1965</v>
      </c>
      <c r="H54" s="38" t="str">
        <f>_xlfn.IFERROR(__xludf.DUMMYFUNCTION("""COMPUTED_VALUE"""),"MARAS team")</f>
        <v>MARAS team</v>
      </c>
      <c r="I54" s="14" t="str">
        <f t="shared" si="1"/>
        <v>C</v>
      </c>
      <c r="J54" s="12">
        <f>COUNTIF(I$5:I54,I54)</f>
        <v>9</v>
      </c>
      <c r="K54" s="50">
        <v>0.028391203703703707</v>
      </c>
    </row>
    <row r="55" spans="1:11" ht="15" customHeight="1">
      <c r="A55" s="10">
        <v>51</v>
      </c>
      <c r="B55" s="13">
        <v>67</v>
      </c>
      <c r="C55" s="44" t="s">
        <v>71</v>
      </c>
      <c r="D55" s="42" t="s">
        <v>72</v>
      </c>
      <c r="E55" s="7" t="s">
        <v>11</v>
      </c>
      <c r="F55" s="13" t="s">
        <v>3</v>
      </c>
      <c r="G55" s="28">
        <v>1977</v>
      </c>
      <c r="H55" s="39" t="s">
        <v>73</v>
      </c>
      <c r="I55" s="14" t="str">
        <f t="shared" si="1"/>
        <v>B</v>
      </c>
      <c r="J55" s="12">
        <f>COUNTIF(I$5:I55,I55)</f>
        <v>9</v>
      </c>
      <c r="K55" s="50">
        <v>0.028449074074074075</v>
      </c>
    </row>
    <row r="56" spans="1:11" ht="15" customHeight="1">
      <c r="A56" s="5">
        <v>52</v>
      </c>
      <c r="B56" s="13">
        <v>108</v>
      </c>
      <c r="C56" s="46" t="s">
        <v>92</v>
      </c>
      <c r="D56" s="41" t="s">
        <v>55</v>
      </c>
      <c r="E56" s="7" t="s">
        <v>11</v>
      </c>
      <c r="F56" s="31" t="s">
        <v>3</v>
      </c>
      <c r="G56" s="26" t="s">
        <v>93</v>
      </c>
      <c r="H56" s="37" t="s">
        <v>94</v>
      </c>
      <c r="I56" s="14" t="str">
        <f t="shared" si="1"/>
        <v>A</v>
      </c>
      <c r="J56" s="12">
        <f>COUNTIF(I$5:I56,I56)</f>
        <v>18</v>
      </c>
      <c r="K56" s="50">
        <v>0.028576388888888887</v>
      </c>
    </row>
    <row r="57" spans="1:11" ht="15" customHeight="1">
      <c r="A57" s="10">
        <v>53</v>
      </c>
      <c r="B57" s="13">
        <v>96</v>
      </c>
      <c r="C57" s="46" t="str">
        <f>_xlfn.IFERROR(__xludf.DUMMYFUNCTION("""COMPUTED_VALUE"""),"HORVÁTH")</f>
        <v>HORVÁTH</v>
      </c>
      <c r="D57" s="41" t="str">
        <f>_xlfn.IFERROR(__xludf.DUMMYFUNCTION("""COMPUTED_VALUE"""),"Peter")</f>
        <v>Peter</v>
      </c>
      <c r="E57" s="7" t="s">
        <v>11</v>
      </c>
      <c r="F57" s="31" t="s">
        <v>3</v>
      </c>
      <c r="G57" s="26">
        <f>_xlfn.IFERROR(__xludf.DUMMYFUNCTION("""COMPUTED_VALUE"""),1968)</f>
        <v>1968</v>
      </c>
      <c r="H57" s="37" t="str">
        <f>_xlfn.IFERROR(__xludf.DUMMYFUNCTION("""COMPUTED_VALUE"""),"BeHoNe Prešov")</f>
        <v>BeHoNe Prešov</v>
      </c>
      <c r="I57" s="14" t="str">
        <f t="shared" si="1"/>
        <v>C</v>
      </c>
      <c r="J57" s="12">
        <f>COUNTIF(I$5:I57,I57)</f>
        <v>10</v>
      </c>
      <c r="K57" s="50">
        <v>0.028599537037037034</v>
      </c>
    </row>
    <row r="58" spans="1:11" ht="15" customHeight="1">
      <c r="A58" s="5">
        <v>54</v>
      </c>
      <c r="B58" s="13">
        <v>64</v>
      </c>
      <c r="C58" s="46" t="str">
        <f>_xlfn.IFERROR(__xludf.DUMMYFUNCTION("""COMPUTED_VALUE"""),"SAJDAKOVÁ")</f>
        <v>SAJDAKOVÁ</v>
      </c>
      <c r="D58" s="41" t="str">
        <f>_xlfn.IFERROR(__xludf.DUMMYFUNCTION("""COMPUTED_VALUE"""),"Zuzana")</f>
        <v>Zuzana</v>
      </c>
      <c r="E58" s="7" t="s">
        <v>11</v>
      </c>
      <c r="F58" s="31" t="s">
        <v>23</v>
      </c>
      <c r="G58" s="26">
        <f>_xlfn.IFERROR(__xludf.DUMMYFUNCTION("""COMPUTED_VALUE"""),1988)</f>
        <v>1988</v>
      </c>
      <c r="H58" s="37" t="str">
        <f>_xlfn.IFERROR(__xludf.DUMMYFUNCTION("""COMPUTED_VALUE"""),"SOKOL LUBOTICE")</f>
        <v>SOKOL LUBOTICE</v>
      </c>
      <c r="I58" s="14" t="str">
        <f t="shared" si="1"/>
        <v>F</v>
      </c>
      <c r="J58" s="12">
        <f>COUNTIF(I$5:I58,I58)</f>
        <v>8</v>
      </c>
      <c r="K58" s="50">
        <v>0.028738425925925928</v>
      </c>
    </row>
    <row r="59" spans="1:11" ht="15" customHeight="1">
      <c r="A59" s="10">
        <v>55</v>
      </c>
      <c r="B59" s="13">
        <v>66</v>
      </c>
      <c r="C59" s="46" t="str">
        <f>_xlfn.IFERROR(__xludf.DUMMYFUNCTION("""COMPUTED_VALUE"""),"KAČALA")</f>
        <v>KAČALA</v>
      </c>
      <c r="D59" s="41" t="str">
        <f>_xlfn.IFERROR(__xludf.DUMMYFUNCTION("""COMPUTED_VALUE"""),"Pavol")</f>
        <v>Pavol</v>
      </c>
      <c r="E59" s="7" t="s">
        <v>11</v>
      </c>
      <c r="F59" s="31" t="s">
        <v>3</v>
      </c>
      <c r="G59" s="26">
        <f>_xlfn.IFERROR(__xludf.DUMMYFUNCTION("""COMPUTED_VALUE"""),1956)</f>
        <v>1956</v>
      </c>
      <c r="H59" s="37" t="str">
        <f>_xlfn.IFERROR(__xludf.DUMMYFUNCTION("""COMPUTED_VALUE"""),"OBS Prešov")</f>
        <v>OBS Prešov</v>
      </c>
      <c r="I59" s="14" t="str">
        <f t="shared" si="1"/>
        <v>D</v>
      </c>
      <c r="J59" s="12">
        <f>COUNTIF(I$5:I59,I59)</f>
        <v>4</v>
      </c>
      <c r="K59" s="50">
        <v>0.028946759259259255</v>
      </c>
    </row>
    <row r="60" spans="1:11" ht="15" customHeight="1">
      <c r="A60" s="5">
        <v>56</v>
      </c>
      <c r="B60" s="13">
        <v>102</v>
      </c>
      <c r="C60" s="45" t="str">
        <f>_xlfn.IFERROR(__xludf.DUMMYFUNCTION("""COMPUTED_VALUE"""),"GRESTY")</f>
        <v>GRESTY</v>
      </c>
      <c r="D60" s="40" t="str">
        <f>_xlfn.IFERROR(__xludf.DUMMYFUNCTION("""COMPUTED_VALUE"""),"Jonathan")</f>
        <v>Jonathan</v>
      </c>
      <c r="E60" s="7" t="s">
        <v>11</v>
      </c>
      <c r="F60" s="32" t="s">
        <v>3</v>
      </c>
      <c r="G60" s="27">
        <f>_xlfn.IFERROR(__xludf.DUMMYFUNCTION("""COMPUTED_VALUE"""),1965)</f>
        <v>1965</v>
      </c>
      <c r="H60" s="38" t="str">
        <f>_xlfn.IFERROR(__xludf.DUMMYFUNCTION("""COMPUTED_VALUE"""),"OBS Prešov")</f>
        <v>OBS Prešov</v>
      </c>
      <c r="I60" s="14" t="str">
        <f t="shared" si="1"/>
        <v>C</v>
      </c>
      <c r="J60" s="12">
        <f>COUNTIF(I$5:I60,I60)</f>
        <v>11</v>
      </c>
      <c r="K60" s="50">
        <v>0.029027777777777777</v>
      </c>
    </row>
    <row r="61" spans="1:11" s="74" customFormat="1" ht="15" customHeight="1">
      <c r="A61" s="65">
        <v>57</v>
      </c>
      <c r="B61" s="75">
        <v>46</v>
      </c>
      <c r="C61" s="89" t="str">
        <f>_xlfn.IFERROR(__xludf.DUMMYFUNCTION("""COMPUTED_VALUE"""),"JENDRICHOVSKÁ")</f>
        <v>JENDRICHOVSKÁ</v>
      </c>
      <c r="D61" s="90" t="str">
        <f>_xlfn.IFERROR(__xludf.DUMMYFUNCTION("""COMPUTED_VALUE"""),"Danka")</f>
        <v>Danka</v>
      </c>
      <c r="E61" s="78" t="s">
        <v>11</v>
      </c>
      <c r="F61" s="91" t="s">
        <v>23</v>
      </c>
      <c r="G61" s="92">
        <f>_xlfn.IFERROR(__xludf.DUMMYFUNCTION("""COMPUTED_VALUE"""),1967)</f>
        <v>1967</v>
      </c>
      <c r="H61" s="93" t="str">
        <f>_xlfn.IFERROR(__xludf.DUMMYFUNCTION("""COMPUTED_VALUE"""),"TTTrend")</f>
        <v>TTTrend</v>
      </c>
      <c r="I61" s="72" t="str">
        <f t="shared" si="1"/>
        <v>H</v>
      </c>
      <c r="J61" s="81">
        <f>COUNTIF(I$5:I61,I61)</f>
        <v>1</v>
      </c>
      <c r="K61" s="73">
        <v>0.029050925925925928</v>
      </c>
    </row>
    <row r="62" spans="1:11" ht="15" customHeight="1">
      <c r="A62" s="5">
        <v>58</v>
      </c>
      <c r="B62" s="13">
        <v>55</v>
      </c>
      <c r="C62" s="45" t="str">
        <f>_xlfn.IFERROR(__xludf.DUMMYFUNCTION("""COMPUTED_VALUE"""),"MIHALIK")</f>
        <v>MIHALIK</v>
      </c>
      <c r="D62" s="40" t="str">
        <f>_xlfn.IFERROR(__xludf.DUMMYFUNCTION("""COMPUTED_VALUE"""),"Štefan")</f>
        <v>Štefan</v>
      </c>
      <c r="E62" s="7" t="s">
        <v>11</v>
      </c>
      <c r="F62" s="32" t="s">
        <v>3</v>
      </c>
      <c r="G62" s="27">
        <f>_xlfn.IFERROR(__xludf.DUMMYFUNCTION("""COMPUTED_VALUE"""),1954)</f>
        <v>1954</v>
      </c>
      <c r="H62" s="38" t="str">
        <f>_xlfn.IFERROR(__xludf.DUMMYFUNCTION("""COMPUTED_VALUE"""),"MARAS team")</f>
        <v>MARAS team</v>
      </c>
      <c r="I62" s="14" t="str">
        <f t="shared" si="1"/>
        <v>D</v>
      </c>
      <c r="J62" s="12">
        <f>COUNTIF(I$5:I62,I62)</f>
        <v>5</v>
      </c>
      <c r="K62" s="50">
        <v>0.029212962962962965</v>
      </c>
    </row>
    <row r="63" spans="1:11" ht="15" customHeight="1">
      <c r="A63" s="10">
        <v>59</v>
      </c>
      <c r="B63" s="13">
        <v>105</v>
      </c>
      <c r="C63" s="46" t="str">
        <f>_xlfn.IFERROR(__xludf.DUMMYFUNCTION("""COMPUTED_VALUE"""),"HRIC")</f>
        <v>HRIC</v>
      </c>
      <c r="D63" s="41" t="str">
        <f>_xlfn.IFERROR(__xludf.DUMMYFUNCTION("""COMPUTED_VALUE"""),"František")</f>
        <v>František</v>
      </c>
      <c r="E63" s="7" t="s">
        <v>11</v>
      </c>
      <c r="F63" s="31" t="s">
        <v>3</v>
      </c>
      <c r="G63" s="26">
        <f>_xlfn.IFERROR(__xludf.DUMMYFUNCTION("""COMPUTED_VALUE"""),2001)</f>
        <v>2001</v>
      </c>
      <c r="H63" s="37" t="str">
        <f>_xlfn.IFERROR(__xludf.DUMMYFUNCTION("""COMPUTED_VALUE"""),"MARAS team")</f>
        <v>MARAS team</v>
      </c>
      <c r="I63" s="14" t="str">
        <f t="shared" si="1"/>
        <v>A</v>
      </c>
      <c r="J63" s="12">
        <f>COUNTIF(I$5:I63,I63)</f>
        <v>19</v>
      </c>
      <c r="K63" s="50">
        <v>0.029247685185185186</v>
      </c>
    </row>
    <row r="64" spans="1:11" ht="15" customHeight="1">
      <c r="A64" s="5">
        <v>60</v>
      </c>
      <c r="B64" s="13">
        <v>84</v>
      </c>
      <c r="C64" s="45" t="str">
        <f>_xlfn.IFERROR(__xludf.DUMMYFUNCTION("""COMPUTED_VALUE"""),"MARCHEVSKÝ")</f>
        <v>MARCHEVSKÝ</v>
      </c>
      <c r="D64" s="40" t="s">
        <v>84</v>
      </c>
      <c r="E64" s="7" t="s">
        <v>11</v>
      </c>
      <c r="F64" s="32" t="s">
        <v>3</v>
      </c>
      <c r="G64" s="27">
        <f>_xlfn.IFERROR(__xludf.DUMMYFUNCTION("""COMPUTED_VALUE"""),1990)</f>
        <v>1990</v>
      </c>
      <c r="H64" s="38" t="str">
        <f>_xlfn.IFERROR(__xludf.DUMMYFUNCTION("""COMPUTED_VALUE"""),"Prešov")</f>
        <v>Prešov</v>
      </c>
      <c r="I64" s="14" t="str">
        <f t="shared" si="1"/>
        <v>A</v>
      </c>
      <c r="J64" s="12">
        <f>COUNTIF(I$5:I64,I64)</f>
        <v>20</v>
      </c>
      <c r="K64" s="50">
        <v>0.029305555555555557</v>
      </c>
    </row>
    <row r="65" spans="1:11" ht="15" customHeight="1">
      <c r="A65" s="10">
        <v>61</v>
      </c>
      <c r="B65" s="13">
        <v>133</v>
      </c>
      <c r="C65" s="46" t="str">
        <f>_xlfn.IFERROR(__xludf.DUMMYFUNCTION("""COMPUTED_VALUE"""),"HAVRILA")</f>
        <v>HAVRILA</v>
      </c>
      <c r="D65" s="41" t="str">
        <f>_xlfn.IFERROR(__xludf.DUMMYFUNCTION("""COMPUTED_VALUE"""),"Dominik")</f>
        <v>Dominik</v>
      </c>
      <c r="E65" s="7" t="s">
        <v>11</v>
      </c>
      <c r="F65" s="31" t="s">
        <v>3</v>
      </c>
      <c r="G65" s="26">
        <f>_xlfn.IFERROR(__xludf.DUMMYFUNCTION("""COMPUTED_VALUE"""),1999)</f>
        <v>1999</v>
      </c>
      <c r="H65" s="37" t="str">
        <f>_xlfn.IFERROR(__xludf.DUMMYFUNCTION("""COMPUTED_VALUE"""),"Petrovany")</f>
        <v>Petrovany</v>
      </c>
      <c r="I65" s="14" t="str">
        <f t="shared" si="1"/>
        <v>A</v>
      </c>
      <c r="J65" s="12">
        <f>COUNTIF(I$5:I65,I65)</f>
        <v>21</v>
      </c>
      <c r="K65" s="50">
        <v>0.029375</v>
      </c>
    </row>
    <row r="66" spans="1:11" ht="15" customHeight="1">
      <c r="A66" s="5">
        <v>62</v>
      </c>
      <c r="B66" s="13">
        <v>31</v>
      </c>
      <c r="C66" s="46" t="str">
        <f>_xlfn.IFERROR(__xludf.DUMMYFUNCTION("""COMPUTED_VALUE"""),"KAKAŠČÍK")</f>
        <v>KAKAŠČÍK</v>
      </c>
      <c r="D66" s="41" t="str">
        <f>_xlfn.IFERROR(__xludf.DUMMYFUNCTION("""COMPUTED_VALUE"""),"Jozef")</f>
        <v>Jozef</v>
      </c>
      <c r="E66" s="7" t="s">
        <v>11</v>
      </c>
      <c r="F66" s="31" t="s">
        <v>3</v>
      </c>
      <c r="G66" s="26">
        <f>_xlfn.IFERROR(__xludf.DUMMYFUNCTION("""COMPUTED_VALUE"""),1959)</f>
        <v>1959</v>
      </c>
      <c r="H66" s="37" t="str">
        <f>_xlfn.IFERROR(__xludf.DUMMYFUNCTION("""COMPUTED_VALUE"""),"NW-Záborské")</f>
        <v>NW-Záborské</v>
      </c>
      <c r="I66" s="14" t="str">
        <f t="shared" si="1"/>
        <v>D</v>
      </c>
      <c r="J66" s="12">
        <f>COUNTIF(I$5:I66,I66)</f>
        <v>6</v>
      </c>
      <c r="K66" s="50">
        <v>0.029490740740740744</v>
      </c>
    </row>
    <row r="67" spans="1:11" ht="15" customHeight="1">
      <c r="A67" s="10">
        <v>63</v>
      </c>
      <c r="B67" s="13">
        <v>70</v>
      </c>
      <c r="C67" s="46" t="str">
        <f>_xlfn.IFERROR(__xludf.DUMMYFUNCTION("""COMPUTED_VALUE"""),"MARCINKO")</f>
        <v>MARCINKO</v>
      </c>
      <c r="D67" s="41" t="str">
        <f>_xlfn.IFERROR(__xludf.DUMMYFUNCTION("""COMPUTED_VALUE"""),"Karol")</f>
        <v>Karol</v>
      </c>
      <c r="E67" s="7" t="s">
        <v>11</v>
      </c>
      <c r="F67" s="31" t="s">
        <v>3</v>
      </c>
      <c r="G67" s="26">
        <f>_xlfn.IFERROR(__xludf.DUMMYFUNCTION("""COMPUTED_VALUE"""),1993)</f>
        <v>1993</v>
      </c>
      <c r="H67" s="37" t="str">
        <f>_xlfn.IFERROR(__xludf.DUMMYFUNCTION("""COMPUTED_VALUE"""),"Prešov")</f>
        <v>Prešov</v>
      </c>
      <c r="I67" s="14" t="str">
        <f t="shared" si="1"/>
        <v>A</v>
      </c>
      <c r="J67" s="12">
        <f>COUNTIF(I$5:I67,I67)</f>
        <v>22</v>
      </c>
      <c r="K67" s="50">
        <v>0.0297337962962963</v>
      </c>
    </row>
    <row r="68" spans="1:11" ht="15" customHeight="1">
      <c r="A68" s="5">
        <v>64</v>
      </c>
      <c r="B68" s="13">
        <v>40</v>
      </c>
      <c r="C68" s="45" t="str">
        <f>_xlfn.IFERROR(__xludf.DUMMYFUNCTION("""COMPUTED_VALUE"""),"MICHALČIN")</f>
        <v>MICHALČIN</v>
      </c>
      <c r="D68" s="40" t="str">
        <f>_xlfn.IFERROR(__xludf.DUMMYFUNCTION("""COMPUTED_VALUE"""),"Sergej")</f>
        <v>Sergej</v>
      </c>
      <c r="E68" s="7" t="s">
        <v>11</v>
      </c>
      <c r="F68" s="32" t="s">
        <v>3</v>
      </c>
      <c r="G68" s="27">
        <f>_xlfn.IFERROR(__xludf.DUMMYFUNCTION("""COMPUTED_VALUE"""),1978)</f>
        <v>1978</v>
      </c>
      <c r="H68" s="38" t="str">
        <f>_xlfn.IFERROR(__xludf.DUMMYFUNCTION("""COMPUTED_VALUE"""),"Teriakovce ")</f>
        <v>Teriakovce </v>
      </c>
      <c r="I68" s="14" t="str">
        <f t="shared" si="1"/>
        <v>B</v>
      </c>
      <c r="J68" s="12">
        <f>COUNTIF(I$5:I68,I68)</f>
        <v>10</v>
      </c>
      <c r="K68" s="50">
        <v>0.02989583333333333</v>
      </c>
    </row>
    <row r="69" spans="1:11" s="74" customFormat="1" ht="15" customHeight="1">
      <c r="A69" s="65">
        <v>65</v>
      </c>
      <c r="B69" s="75">
        <v>126</v>
      </c>
      <c r="C69" s="83" t="str">
        <f>_xlfn.IFERROR(__xludf.DUMMYFUNCTION("""COMPUTED_VALUE"""),"PAPP")</f>
        <v>PAPP</v>
      </c>
      <c r="D69" s="84" t="str">
        <f>_xlfn.IFERROR(__xludf.DUMMYFUNCTION("""COMPUTED_VALUE"""),"Zoltán")</f>
        <v>Zoltán</v>
      </c>
      <c r="E69" s="78" t="s">
        <v>11</v>
      </c>
      <c r="F69" s="85" t="s">
        <v>3</v>
      </c>
      <c r="G69" s="86">
        <f>_xlfn.IFERROR(__xludf.DUMMYFUNCTION("""COMPUTED_VALUE"""),1949)</f>
        <v>1949</v>
      </c>
      <c r="H69" s="87" t="str">
        <f>_xlfn.IFERROR(__xludf.DUMMYFUNCTION("""COMPUTED_VALUE"""),"MBK Veľké Kapušany")</f>
        <v>MBK Veľké Kapušany</v>
      </c>
      <c r="I69" s="72" t="str">
        <f aca="true" t="shared" si="2" ref="I69:I100">IF(F69="m",IF($G$1-$G69&lt;=17,"JM",IF($G$1-$G69&lt;=39,"A",IF($G$1-$G69&lt;=49,"B",IF($G$1-$G69&lt;=59,"C",IF($G$1-$G69&lt;=69,"D","E"))))),IF($G$1-$G69&lt;=17,"JŽ",IF($G$1-$G69&lt;=39,"F",IF($G$1-$G69&lt;=49,"G",IF($G$1-$G69&lt;=59,"H","I")))))</f>
        <v>E</v>
      </c>
      <c r="J69" s="81">
        <f>COUNTIF(I$5:I69,I69)</f>
        <v>1</v>
      </c>
      <c r="K69" s="73">
        <v>0.029930555555555557</v>
      </c>
    </row>
    <row r="70" spans="1:11" ht="15" customHeight="1">
      <c r="A70" s="5">
        <v>66</v>
      </c>
      <c r="B70" s="13">
        <v>127</v>
      </c>
      <c r="C70" s="46" t="str">
        <f>_xlfn.IFERROR(__xludf.DUMMYFUNCTION("""COMPUTED_VALUE"""),"PUŠKÁRIK")</f>
        <v>PUŠKÁRIK</v>
      </c>
      <c r="D70" s="41" t="str">
        <f>_xlfn.IFERROR(__xludf.DUMMYFUNCTION("""COMPUTED_VALUE"""),"Benjamin")</f>
        <v>Benjamin</v>
      </c>
      <c r="E70" s="7" t="s">
        <v>11</v>
      </c>
      <c r="F70" s="31" t="s">
        <v>3</v>
      </c>
      <c r="G70" s="26">
        <f>_xlfn.IFERROR(__xludf.DUMMYFUNCTION("""COMPUTED_VALUE"""),1965)</f>
        <v>1965</v>
      </c>
      <c r="H70" s="37" t="str">
        <f>_xlfn.IFERROR(__xludf.DUMMYFUNCTION("""COMPUTED_VALUE"""),"MBK Veľké Kapušany")</f>
        <v>MBK Veľké Kapušany</v>
      </c>
      <c r="I70" s="14" t="str">
        <f t="shared" si="2"/>
        <v>C</v>
      </c>
      <c r="J70" s="12">
        <f>COUNTIF(I$5:I70,I70)</f>
        <v>12</v>
      </c>
      <c r="K70" s="50">
        <v>0.030381944444444444</v>
      </c>
    </row>
    <row r="71" spans="1:11" s="74" customFormat="1" ht="15" customHeight="1">
      <c r="A71" s="65">
        <v>67</v>
      </c>
      <c r="B71" s="75">
        <v>65</v>
      </c>
      <c r="C71" s="89" t="str">
        <f>_xlfn.IFERROR(__xludf.DUMMYFUNCTION("""COMPUTED_VALUE"""),"LEŠKOVÁ")</f>
        <v>LEŠKOVÁ</v>
      </c>
      <c r="D71" s="90" t="str">
        <f>_xlfn.IFERROR(__xludf.DUMMYFUNCTION("""COMPUTED_VALUE"""),"Natália")</f>
        <v>Natália</v>
      </c>
      <c r="E71" s="78" t="s">
        <v>11</v>
      </c>
      <c r="F71" s="91" t="s">
        <v>23</v>
      </c>
      <c r="G71" s="92">
        <f>_xlfn.IFERROR(__xludf.DUMMYFUNCTION("""COMPUTED_VALUE"""),2007)</f>
        <v>2007</v>
      </c>
      <c r="H71" s="87" t="str">
        <f>_xlfn.IFERROR(__xludf.DUMMYFUNCTION("""COMPUTED_VALUE"""),"MARAS team ")</f>
        <v>MARAS team </v>
      </c>
      <c r="I71" s="72" t="str">
        <f t="shared" si="2"/>
        <v>JŽ</v>
      </c>
      <c r="J71" s="81">
        <f>COUNTIF(I$5:I71,I71)</f>
        <v>1</v>
      </c>
      <c r="K71" s="73">
        <v>0.030416666666666665</v>
      </c>
    </row>
    <row r="72" spans="1:11" ht="15" customHeight="1">
      <c r="A72" s="5">
        <v>68</v>
      </c>
      <c r="B72" s="13">
        <v>94</v>
      </c>
      <c r="C72" s="46" t="str">
        <f>_xlfn.IFERROR(__xludf.DUMMYFUNCTION("""COMPUTED_VALUE"""),"ŠKERHÁK")</f>
        <v>ŠKERHÁK</v>
      </c>
      <c r="D72" s="41" t="str">
        <f>_xlfn.IFERROR(__xludf.DUMMYFUNCTION("""COMPUTED_VALUE"""),"Róbert")</f>
        <v>Róbert</v>
      </c>
      <c r="E72" s="7" t="s">
        <v>11</v>
      </c>
      <c r="F72" s="31" t="s">
        <v>3</v>
      </c>
      <c r="G72" s="26">
        <f>_xlfn.IFERROR(__xludf.DUMMYFUNCTION("""COMPUTED_VALUE"""),1981)</f>
        <v>1981</v>
      </c>
      <c r="H72" s="37" t="str">
        <f>_xlfn.IFERROR(__xludf.DUMMYFUNCTION("""COMPUTED_VALUE"""),"Kokošovce")</f>
        <v>Kokošovce</v>
      </c>
      <c r="I72" s="14" t="str">
        <f t="shared" si="2"/>
        <v>A</v>
      </c>
      <c r="J72" s="12">
        <f>COUNTIF(I$5:I72,I72)</f>
        <v>23</v>
      </c>
      <c r="K72" s="50">
        <v>0.030416666666666665</v>
      </c>
    </row>
    <row r="73" spans="1:11" ht="15" customHeight="1">
      <c r="A73" s="10">
        <v>69</v>
      </c>
      <c r="B73" s="13">
        <v>23</v>
      </c>
      <c r="C73" s="44" t="s">
        <v>49</v>
      </c>
      <c r="D73" s="42" t="s">
        <v>35</v>
      </c>
      <c r="E73" s="7" t="s">
        <v>11</v>
      </c>
      <c r="F73" s="13" t="s">
        <v>3</v>
      </c>
      <c r="G73" s="28">
        <v>1979</v>
      </c>
      <c r="H73" s="39" t="s">
        <v>26</v>
      </c>
      <c r="I73" s="14" t="str">
        <f t="shared" si="2"/>
        <v>B</v>
      </c>
      <c r="J73" s="12">
        <f>COUNTIF(I$5:I73,I73)</f>
        <v>11</v>
      </c>
      <c r="K73" s="50">
        <v>0.03043981481481482</v>
      </c>
    </row>
    <row r="74" spans="1:11" ht="15" customHeight="1">
      <c r="A74" s="5">
        <v>70</v>
      </c>
      <c r="B74" s="13">
        <v>7</v>
      </c>
      <c r="C74" s="44" t="s">
        <v>34</v>
      </c>
      <c r="D74" s="42" t="s">
        <v>35</v>
      </c>
      <c r="E74" s="7" t="s">
        <v>11</v>
      </c>
      <c r="F74" s="13" t="s">
        <v>3</v>
      </c>
      <c r="G74" s="28">
        <v>1977</v>
      </c>
      <c r="H74" s="39" t="s">
        <v>36</v>
      </c>
      <c r="I74" s="14" t="str">
        <f t="shared" si="2"/>
        <v>B</v>
      </c>
      <c r="J74" s="12">
        <f>COUNTIF(I$5:I74,I74)</f>
        <v>12</v>
      </c>
      <c r="K74" s="50">
        <v>0.030462962962962966</v>
      </c>
    </row>
    <row r="75" spans="1:11" ht="15" customHeight="1">
      <c r="A75" s="10">
        <v>71</v>
      </c>
      <c r="B75" s="13">
        <v>18</v>
      </c>
      <c r="C75" s="44" t="s">
        <v>44</v>
      </c>
      <c r="D75" s="42" t="s">
        <v>35</v>
      </c>
      <c r="E75" s="7" t="s">
        <v>11</v>
      </c>
      <c r="F75" s="13" t="s">
        <v>3</v>
      </c>
      <c r="G75" s="28">
        <v>1992</v>
      </c>
      <c r="H75" s="39" t="s">
        <v>45</v>
      </c>
      <c r="I75" s="14" t="str">
        <f t="shared" si="2"/>
        <v>A</v>
      </c>
      <c r="J75" s="12">
        <f>COUNTIF(I$5:I75,I75)</f>
        <v>24</v>
      </c>
      <c r="K75" s="50">
        <v>0.030625</v>
      </c>
    </row>
    <row r="76" spans="1:11" ht="15" customHeight="1">
      <c r="A76" s="5">
        <v>72</v>
      </c>
      <c r="B76" s="13">
        <v>119</v>
      </c>
      <c r="C76" s="45" t="str">
        <f>_xlfn.IFERROR(__xludf.DUMMYFUNCTION("""COMPUTED_VALUE"""),"POLÁČEK")</f>
        <v>POLÁČEK</v>
      </c>
      <c r="D76" s="40" t="str">
        <f>_xlfn.IFERROR(__xludf.DUMMYFUNCTION("""COMPUTED_VALUE"""),"Michal")</f>
        <v>Michal</v>
      </c>
      <c r="E76" s="7" t="s">
        <v>11</v>
      </c>
      <c r="F76" s="32" t="s">
        <v>3</v>
      </c>
      <c r="G76" s="27">
        <f>_xlfn.IFERROR(__xludf.DUMMYFUNCTION("""COMPUTED_VALUE"""),1993)</f>
        <v>1993</v>
      </c>
      <c r="H76" s="37" t="str">
        <f>_xlfn.IFERROR(__xludf.DUMMYFUNCTION("""COMPUTED_VALUE"""),"Active Life Košice")</f>
        <v>Active Life Košice</v>
      </c>
      <c r="I76" s="14" t="str">
        <f t="shared" si="2"/>
        <v>A</v>
      </c>
      <c r="J76" s="12">
        <f>COUNTIF(I$5:I76,I76)</f>
        <v>25</v>
      </c>
      <c r="K76" s="50">
        <v>0.03079861111111111</v>
      </c>
    </row>
    <row r="77" spans="1:11" ht="15" customHeight="1">
      <c r="A77" s="10">
        <v>73</v>
      </c>
      <c r="B77" s="13">
        <v>138</v>
      </c>
      <c r="C77" s="46" t="str">
        <f>_xlfn.IFERROR(__xludf.DUMMYFUNCTION("""COMPUTED_VALUE"""),"DUDÁŠ")</f>
        <v>DUDÁŠ</v>
      </c>
      <c r="D77" s="41" t="str">
        <f>_xlfn.IFERROR(__xludf.DUMMYFUNCTION("""COMPUTED_VALUE"""),"Michal")</f>
        <v>Michal</v>
      </c>
      <c r="E77" s="7" t="s">
        <v>11</v>
      </c>
      <c r="F77" s="31" t="s">
        <v>3</v>
      </c>
      <c r="G77" s="26">
        <f>_xlfn.IFERROR(__xludf.DUMMYFUNCTION("""COMPUTED_VALUE"""),1991)</f>
        <v>1991</v>
      </c>
      <c r="H77" s="37" t="str">
        <f>_xlfn.IFERROR(__xludf.DUMMYFUNCTION("""COMPUTED_VALUE"""),"Prešov")</f>
        <v>Prešov</v>
      </c>
      <c r="I77" s="14" t="str">
        <f t="shared" si="2"/>
        <v>A</v>
      </c>
      <c r="J77" s="12">
        <f>COUNTIF(I$5:I77,I77)</f>
        <v>26</v>
      </c>
      <c r="K77" s="50">
        <v>0.030833333333333334</v>
      </c>
    </row>
    <row r="78" spans="1:11" ht="15" customHeight="1">
      <c r="A78" s="5">
        <v>74</v>
      </c>
      <c r="B78" s="13">
        <v>3</v>
      </c>
      <c r="C78" s="44" t="s">
        <v>32</v>
      </c>
      <c r="D78" s="42" t="s">
        <v>30</v>
      </c>
      <c r="E78" s="7" t="s">
        <v>11</v>
      </c>
      <c r="F78" s="13" t="s">
        <v>3</v>
      </c>
      <c r="G78" s="28">
        <v>1956</v>
      </c>
      <c r="H78" s="39" t="s">
        <v>31</v>
      </c>
      <c r="I78" s="14" t="str">
        <f t="shared" si="2"/>
        <v>D</v>
      </c>
      <c r="J78" s="12">
        <f>COUNTIF(I$5:I78,I78)</f>
        <v>7</v>
      </c>
      <c r="K78" s="50">
        <v>0.03099537037037037</v>
      </c>
    </row>
    <row r="79" spans="1:11" s="104" customFormat="1" ht="15" customHeight="1">
      <c r="A79" s="110">
        <v>75</v>
      </c>
      <c r="B79" s="95">
        <v>41</v>
      </c>
      <c r="C79" s="105" t="str">
        <f>_xlfn.IFERROR(__xludf.DUMMYFUNCTION("""COMPUTED_VALUE"""),"KRAJŇÁKOVÁ")</f>
        <v>KRAJŇÁKOVÁ</v>
      </c>
      <c r="D79" s="106" t="str">
        <f>_xlfn.IFERROR(__xludf.DUMMYFUNCTION("""COMPUTED_VALUE"""),"Katarína")</f>
        <v>Katarína</v>
      </c>
      <c r="E79" s="98" t="s">
        <v>11</v>
      </c>
      <c r="F79" s="107" t="s">
        <v>23</v>
      </c>
      <c r="G79" s="108">
        <f>_xlfn.IFERROR(__xludf.DUMMYFUNCTION("""COMPUTED_VALUE"""),1967)</f>
        <v>1967</v>
      </c>
      <c r="H79" s="109" t="str">
        <f>_xlfn.IFERROR(__xludf.DUMMYFUNCTION("""COMPUTED_VALUE"""),"MARAS team")</f>
        <v>MARAS team</v>
      </c>
      <c r="I79" s="101" t="str">
        <f t="shared" si="2"/>
        <v>H</v>
      </c>
      <c r="J79" s="102">
        <f>COUNTIF(I$5:I79,I79)</f>
        <v>2</v>
      </c>
      <c r="K79" s="103">
        <v>0.03107638888888889</v>
      </c>
    </row>
    <row r="80" spans="1:11" ht="15" customHeight="1">
      <c r="A80" s="5">
        <v>76</v>
      </c>
      <c r="B80" s="13">
        <v>13</v>
      </c>
      <c r="C80" s="45" t="str">
        <f>_xlfn.IFERROR(__xludf.DUMMYFUNCTION("""COMPUTED_VALUE"""),"MAJERNÍK")</f>
        <v>MAJERNÍK</v>
      </c>
      <c r="D80" s="40" t="str">
        <f>_xlfn.IFERROR(__xludf.DUMMYFUNCTION("""COMPUTED_VALUE"""),"Milan")</f>
        <v>Milan</v>
      </c>
      <c r="E80" s="7" t="s">
        <v>11</v>
      </c>
      <c r="F80" s="32" t="s">
        <v>3</v>
      </c>
      <c r="G80" s="27">
        <f>_xlfn.IFERROR(__xludf.DUMMYFUNCTION("""COMPUTED_VALUE"""),1970)</f>
        <v>1970</v>
      </c>
      <c r="H80" s="38" t="str">
        <f>_xlfn.IFERROR(__xludf.DUMMYFUNCTION("""COMPUTED_VALUE"""),"MARAS team ")</f>
        <v>MARAS team </v>
      </c>
      <c r="I80" s="14" t="str">
        <f t="shared" si="2"/>
        <v>C</v>
      </c>
      <c r="J80" s="12">
        <f>COUNTIF(I$5:I80,I80)</f>
        <v>13</v>
      </c>
      <c r="K80" s="50">
        <v>0.03108796296296296</v>
      </c>
    </row>
    <row r="81" spans="1:11" ht="15" customHeight="1">
      <c r="A81" s="10">
        <v>77</v>
      </c>
      <c r="B81" s="13">
        <v>16</v>
      </c>
      <c r="C81" s="45" t="str">
        <f>_xlfn.IFERROR(__xludf.DUMMYFUNCTION("""COMPUTED_VALUE"""),"BALOGA")</f>
        <v>BALOGA</v>
      </c>
      <c r="D81" s="40" t="str">
        <f>_xlfn.IFERROR(__xludf.DUMMYFUNCTION("""COMPUTED_VALUE"""),"Marián")</f>
        <v>Marián</v>
      </c>
      <c r="E81" s="7" t="s">
        <v>11</v>
      </c>
      <c r="F81" s="32" t="s">
        <v>3</v>
      </c>
      <c r="G81" s="27">
        <f>_xlfn.IFERROR(__xludf.DUMMYFUNCTION("""COMPUTED_VALUE"""),1993)</f>
        <v>1993</v>
      </c>
      <c r="H81" s="38" t="str">
        <f>_xlfn.IFERROR(__xludf.DUMMYFUNCTION("""COMPUTED_VALUE"""),"Prešov")</f>
        <v>Prešov</v>
      </c>
      <c r="I81" s="14" t="str">
        <f t="shared" si="2"/>
        <v>A</v>
      </c>
      <c r="J81" s="12">
        <f>COUNTIF(I$5:I81,I81)</f>
        <v>27</v>
      </c>
      <c r="K81" s="50">
        <v>0.03128472222222222</v>
      </c>
    </row>
    <row r="82" spans="1:11" ht="15" customHeight="1">
      <c r="A82" s="5">
        <v>78</v>
      </c>
      <c r="B82" s="13">
        <v>121</v>
      </c>
      <c r="C82" s="46" t="str">
        <f>_xlfn.IFERROR(__xludf.DUMMYFUNCTION("""COMPUTED_VALUE"""),"DOŇÁK")</f>
        <v>DOŇÁK</v>
      </c>
      <c r="D82" s="41" t="str">
        <f>_xlfn.IFERROR(__xludf.DUMMYFUNCTION("""COMPUTED_VALUE"""),"Tomas")</f>
        <v>Tomas</v>
      </c>
      <c r="E82" s="7" t="s">
        <v>11</v>
      </c>
      <c r="F82" s="31" t="s">
        <v>3</v>
      </c>
      <c r="G82" s="26">
        <f>_xlfn.IFERROR(__xludf.DUMMYFUNCTION("""COMPUTED_VALUE"""),1985)</f>
        <v>1985</v>
      </c>
      <c r="H82" s="37" t="str">
        <f>_xlfn.IFERROR(__xludf.DUMMYFUNCTION("""COMPUTED_VALUE"""),"Dulova Ves")</f>
        <v>Dulova Ves</v>
      </c>
      <c r="I82" s="14" t="str">
        <f t="shared" si="2"/>
        <v>A</v>
      </c>
      <c r="J82" s="12">
        <f>COUNTIF(I$5:I82,I82)</f>
        <v>28</v>
      </c>
      <c r="K82" s="50">
        <v>0.03135416666666666</v>
      </c>
    </row>
    <row r="83" spans="1:11" ht="15" customHeight="1">
      <c r="A83" s="10">
        <v>79</v>
      </c>
      <c r="B83" s="13">
        <v>58</v>
      </c>
      <c r="C83" s="44" t="s">
        <v>69</v>
      </c>
      <c r="D83" s="42" t="s">
        <v>70</v>
      </c>
      <c r="E83" s="7" t="s">
        <v>11</v>
      </c>
      <c r="F83" s="13" t="s">
        <v>3</v>
      </c>
      <c r="G83" s="28">
        <v>1988</v>
      </c>
      <c r="H83" s="39" t="s">
        <v>26</v>
      </c>
      <c r="I83" s="14" t="str">
        <f t="shared" si="2"/>
        <v>A</v>
      </c>
      <c r="J83" s="12">
        <f>COUNTIF(I$5:I83,I83)</f>
        <v>29</v>
      </c>
      <c r="K83" s="50">
        <v>0.031574074074074074</v>
      </c>
    </row>
    <row r="84" spans="1:11" ht="15" customHeight="1">
      <c r="A84" s="5">
        <v>80</v>
      </c>
      <c r="B84" s="13">
        <v>54</v>
      </c>
      <c r="C84" s="45" t="str">
        <f>_xlfn.IFERROR(__xludf.DUMMYFUNCTION("""COMPUTED_VALUE"""),"MIHALIKOVÁ")</f>
        <v>MIHALIKOVÁ</v>
      </c>
      <c r="D84" s="40" t="str">
        <f>_xlfn.IFERROR(__xludf.DUMMYFUNCTION("""COMPUTED_VALUE"""),"Veronika")</f>
        <v>Veronika</v>
      </c>
      <c r="E84" s="7" t="s">
        <v>11</v>
      </c>
      <c r="F84" s="32" t="s">
        <v>23</v>
      </c>
      <c r="G84" s="27">
        <f>_xlfn.IFERROR(__xludf.DUMMYFUNCTION("""COMPUTED_VALUE"""),2000)</f>
        <v>2000</v>
      </c>
      <c r="H84" s="38" t="str">
        <f>_xlfn.IFERROR(__xludf.DUMMYFUNCTION("""COMPUTED_VALUE"""),"OZ Športom k radosti")</f>
        <v>OZ Športom k radosti</v>
      </c>
      <c r="I84" s="14" t="str">
        <f t="shared" si="2"/>
        <v>F</v>
      </c>
      <c r="J84" s="12">
        <f>COUNTIF(I$5:I84,I84)</f>
        <v>9</v>
      </c>
      <c r="K84" s="50">
        <v>0.031608796296296295</v>
      </c>
    </row>
    <row r="85" spans="1:11" ht="15" customHeight="1">
      <c r="A85" s="10">
        <v>81</v>
      </c>
      <c r="B85" s="13">
        <v>82</v>
      </c>
      <c r="C85" s="46" t="str">
        <f>_xlfn.IFERROR(__xludf.DUMMYFUNCTION("""COMPUTED_VALUE"""),"ULIČNÝ")</f>
        <v>ULIČNÝ</v>
      </c>
      <c r="D85" s="41" t="str">
        <f>_xlfn.IFERROR(__xludf.DUMMYFUNCTION("""COMPUTED_VALUE"""),"Peter")</f>
        <v>Peter</v>
      </c>
      <c r="E85" s="7" t="s">
        <v>11</v>
      </c>
      <c r="F85" s="31" t="s">
        <v>3</v>
      </c>
      <c r="G85" s="26">
        <f>_xlfn.IFERROR(__xludf.DUMMYFUNCTION("""COMPUTED_VALUE"""),1983)</f>
        <v>1983</v>
      </c>
      <c r="H85" s="37" t="str">
        <f>_xlfn.IFERROR(__xludf.DUMMYFUNCTION("""COMPUTED_VALUE"""),"MARAS team")</f>
        <v>MARAS team</v>
      </c>
      <c r="I85" s="14" t="str">
        <f t="shared" si="2"/>
        <v>A</v>
      </c>
      <c r="J85" s="12">
        <f>COUNTIF(I$5:I85,I85)</f>
        <v>30</v>
      </c>
      <c r="K85" s="50">
        <v>0.031608796296296295</v>
      </c>
    </row>
    <row r="86" spans="1:11" ht="15" customHeight="1">
      <c r="A86" s="5">
        <v>82</v>
      </c>
      <c r="B86" s="13">
        <v>38</v>
      </c>
      <c r="C86" s="46" t="str">
        <f>_xlfn.IFERROR(__xludf.DUMMYFUNCTION("""COMPUTED_VALUE"""),"MIČO")</f>
        <v>MIČO</v>
      </c>
      <c r="D86" s="41" t="str">
        <f>_xlfn.IFERROR(__xludf.DUMMYFUNCTION("""COMPUTED_VALUE"""),"Martin")</f>
        <v>Martin</v>
      </c>
      <c r="E86" s="7" t="s">
        <v>11</v>
      </c>
      <c r="F86" s="31" t="s">
        <v>3</v>
      </c>
      <c r="G86" s="26">
        <f>_xlfn.IFERROR(__xludf.DUMMYFUNCTION("""COMPUTED_VALUE"""),1970)</f>
        <v>1970</v>
      </c>
      <c r="H86" s="37" t="str">
        <f>_xlfn.IFERROR(__xludf.DUMMYFUNCTION("""COMPUTED_VALUE"""),"Prešov ")</f>
        <v>Prešov </v>
      </c>
      <c r="I86" s="14" t="str">
        <f t="shared" si="2"/>
        <v>C</v>
      </c>
      <c r="J86" s="12">
        <f>COUNTIF(I$5:I86,I86)</f>
        <v>14</v>
      </c>
      <c r="K86" s="50">
        <v>0.03170138888888889</v>
      </c>
    </row>
    <row r="87" spans="1:11" ht="15" customHeight="1">
      <c r="A87" s="10">
        <v>83</v>
      </c>
      <c r="B87" s="13">
        <v>123</v>
      </c>
      <c r="C87" s="44" t="s">
        <v>24</v>
      </c>
      <c r="D87" s="42" t="s">
        <v>25</v>
      </c>
      <c r="E87" s="7" t="s">
        <v>11</v>
      </c>
      <c r="F87" s="13" t="s">
        <v>3</v>
      </c>
      <c r="G87" s="28">
        <v>1979</v>
      </c>
      <c r="H87" s="39" t="s">
        <v>26</v>
      </c>
      <c r="I87" s="14" t="str">
        <f t="shared" si="2"/>
        <v>B</v>
      </c>
      <c r="J87" s="12">
        <f>COUNTIF(I$5:I87,I87)</f>
        <v>13</v>
      </c>
      <c r="K87" s="50">
        <v>0.03175925925925926</v>
      </c>
    </row>
    <row r="88" spans="1:11" s="127" customFormat="1" ht="15" customHeight="1">
      <c r="A88" s="133">
        <v>84</v>
      </c>
      <c r="B88" s="117">
        <v>9</v>
      </c>
      <c r="C88" s="118" t="str">
        <f>_xlfn.IFERROR(__xludf.DUMMYFUNCTION("""COMPUTED_VALUE"""),"MEDVECKOVÁ")</f>
        <v>MEDVECKOVÁ</v>
      </c>
      <c r="D88" s="119" t="str">
        <f>_xlfn.IFERROR(__xludf.DUMMYFUNCTION("""COMPUTED_VALUE"""),"Terézia")</f>
        <v>Terézia</v>
      </c>
      <c r="E88" s="120" t="s">
        <v>11</v>
      </c>
      <c r="F88" s="121" t="s">
        <v>23</v>
      </c>
      <c r="G88" s="122">
        <f>_xlfn.IFERROR(__xludf.DUMMYFUNCTION("""COMPUTED_VALUE"""),1966)</f>
        <v>1966</v>
      </c>
      <c r="H88" s="123" t="str">
        <f>_xlfn.IFERROR(__xludf.DUMMYFUNCTION("""COMPUTED_VALUE"""),"MARAS team")</f>
        <v>MARAS team</v>
      </c>
      <c r="I88" s="124" t="str">
        <f t="shared" si="2"/>
        <v>H</v>
      </c>
      <c r="J88" s="125">
        <f>COUNTIF(I$5:I88,I88)</f>
        <v>3</v>
      </c>
      <c r="K88" s="126">
        <v>0.03179398148148148</v>
      </c>
    </row>
    <row r="89" spans="1:11" ht="15" customHeight="1">
      <c r="A89" s="10">
        <v>85</v>
      </c>
      <c r="B89" s="13">
        <v>25</v>
      </c>
      <c r="C89" s="44" t="s">
        <v>51</v>
      </c>
      <c r="D89" s="42" t="s">
        <v>52</v>
      </c>
      <c r="E89" s="7" t="s">
        <v>11</v>
      </c>
      <c r="F89" s="13" t="s">
        <v>23</v>
      </c>
      <c r="G89" s="28">
        <v>1986</v>
      </c>
      <c r="H89" s="39" t="s">
        <v>53</v>
      </c>
      <c r="I89" s="14" t="str">
        <f t="shared" si="2"/>
        <v>F</v>
      </c>
      <c r="J89" s="12">
        <f>COUNTIF(I$5:I89,I89)</f>
        <v>10</v>
      </c>
      <c r="K89" s="50">
        <v>0.0319212962962963</v>
      </c>
    </row>
    <row r="90" spans="1:11" s="74" customFormat="1" ht="15" customHeight="1">
      <c r="A90" s="82">
        <v>86</v>
      </c>
      <c r="B90" s="75">
        <v>33</v>
      </c>
      <c r="C90" s="89" t="str">
        <f>_xlfn.IFERROR(__xludf.DUMMYFUNCTION("""COMPUTED_VALUE"""),"CHOVANOVÁ")</f>
        <v>CHOVANOVÁ</v>
      </c>
      <c r="D90" s="90" t="str">
        <f>_xlfn.IFERROR(__xludf.DUMMYFUNCTION("""COMPUTED_VALUE"""),"Erika")</f>
        <v>Erika</v>
      </c>
      <c r="E90" s="78" t="s">
        <v>11</v>
      </c>
      <c r="F90" s="91" t="s">
        <v>23</v>
      </c>
      <c r="G90" s="92">
        <f>_xlfn.IFERROR(__xludf.DUMMYFUNCTION("""COMPUTED_VALUE"""),1958)</f>
        <v>1958</v>
      </c>
      <c r="H90" s="93" t="str">
        <f>_xlfn.IFERROR(__xludf.DUMMYFUNCTION("""COMPUTED_VALUE"""),"Prešov")</f>
        <v>Prešov</v>
      </c>
      <c r="I90" s="72" t="str">
        <f t="shared" si="2"/>
        <v>I</v>
      </c>
      <c r="J90" s="81">
        <f>COUNTIF(I$5:I90,I90)</f>
        <v>1</v>
      </c>
      <c r="K90" s="73">
        <v>0.03204861111111111</v>
      </c>
    </row>
    <row r="91" spans="1:11" ht="15" customHeight="1">
      <c r="A91" s="10">
        <v>87</v>
      </c>
      <c r="B91" s="13">
        <v>116</v>
      </c>
      <c r="C91" s="45" t="str">
        <f>_xlfn.IFERROR(__xludf.DUMMYFUNCTION("""COMPUTED_VALUE"""),"HRACHIAR")</f>
        <v>HRACHIAR</v>
      </c>
      <c r="D91" s="40" t="str">
        <f>_xlfn.IFERROR(__xludf.DUMMYFUNCTION("""COMPUTED_VALUE"""),"Martina")</f>
        <v>Martina</v>
      </c>
      <c r="E91" s="7" t="s">
        <v>11</v>
      </c>
      <c r="F91" s="32" t="s">
        <v>23</v>
      </c>
      <c r="G91" s="27">
        <f>_xlfn.IFERROR(__xludf.DUMMYFUNCTION("""COMPUTED_VALUE"""),1982)</f>
        <v>1982</v>
      </c>
      <c r="H91" s="38" t="str">
        <f>_xlfn.IFERROR(__xludf.DUMMYFUNCTION("""COMPUTED_VALUE"""),"Revúca")</f>
        <v>Revúca</v>
      </c>
      <c r="I91" s="14" t="str">
        <f t="shared" si="2"/>
        <v>F</v>
      </c>
      <c r="J91" s="12">
        <f>COUNTIF(I$5:I91,I91)</f>
        <v>11</v>
      </c>
      <c r="K91" s="50">
        <v>0.03204861111111111</v>
      </c>
    </row>
    <row r="92" spans="1:11" ht="15" customHeight="1">
      <c r="A92" s="5">
        <v>88</v>
      </c>
      <c r="B92" s="13">
        <v>27</v>
      </c>
      <c r="C92" s="45" t="str">
        <f>_xlfn.IFERROR(__xludf.DUMMYFUNCTION("""COMPUTED_VALUE"""),"KAČALA")</f>
        <v>KAČALA</v>
      </c>
      <c r="D92" s="40" t="str">
        <f>_xlfn.IFERROR(__xludf.DUMMYFUNCTION("""COMPUTED_VALUE"""),"Ján")</f>
        <v>Ján</v>
      </c>
      <c r="E92" s="7" t="s">
        <v>11</v>
      </c>
      <c r="F92" s="32" t="s">
        <v>3</v>
      </c>
      <c r="G92" s="27">
        <f>_xlfn.IFERROR(__xludf.DUMMYFUNCTION("""COMPUTED_VALUE"""),1958)</f>
        <v>1958</v>
      </c>
      <c r="H92" s="38" t="str">
        <f>_xlfn.IFERROR(__xludf.DUMMYFUNCTION("""COMPUTED_VALUE"""),"Prešov")</f>
        <v>Prešov</v>
      </c>
      <c r="I92" s="14" t="str">
        <f t="shared" si="2"/>
        <v>D</v>
      </c>
      <c r="J92" s="12">
        <f>COUNTIF(I$5:I92,I92)</f>
        <v>8</v>
      </c>
      <c r="K92" s="50">
        <v>0.03215277777777777</v>
      </c>
    </row>
    <row r="93" spans="1:11" ht="15" customHeight="1">
      <c r="A93" s="10">
        <v>89</v>
      </c>
      <c r="B93" s="13">
        <v>109</v>
      </c>
      <c r="C93" s="46" t="str">
        <f>_xlfn.IFERROR(__xludf.DUMMYFUNCTION("""COMPUTED_VALUE"""),"ŠPIRENGOVÁ")</f>
        <v>ŠPIRENGOVÁ</v>
      </c>
      <c r="D93" s="41" t="str">
        <f>_xlfn.IFERROR(__xludf.DUMMYFUNCTION("""COMPUTED_VALUE"""),"Veronika")</f>
        <v>Veronika</v>
      </c>
      <c r="E93" s="7" t="s">
        <v>11</v>
      </c>
      <c r="F93" s="31" t="s">
        <v>23</v>
      </c>
      <c r="G93" s="26">
        <f>_xlfn.IFERROR(__xludf.DUMMYFUNCTION("""COMPUTED_VALUE"""),1981)</f>
        <v>1981</v>
      </c>
      <c r="H93" s="37" t="str">
        <f>_xlfn.IFERROR(__xludf.DUMMYFUNCTION("""COMPUTED_VALUE"""),"Hi G Run")</f>
        <v>Hi G Run</v>
      </c>
      <c r="I93" s="14" t="str">
        <f t="shared" si="2"/>
        <v>F</v>
      </c>
      <c r="J93" s="12">
        <f>COUNTIF(I$5:I93,I93)</f>
        <v>12</v>
      </c>
      <c r="K93" s="50">
        <v>0.032199074074074074</v>
      </c>
    </row>
    <row r="94" spans="1:11" ht="15" customHeight="1">
      <c r="A94" s="5">
        <v>90</v>
      </c>
      <c r="B94" s="13">
        <v>39</v>
      </c>
      <c r="C94" s="45" t="str">
        <f>_xlfn.IFERROR(__xludf.DUMMYFUNCTION("""COMPUTED_VALUE"""),"IVANOV")</f>
        <v>IVANOV</v>
      </c>
      <c r="D94" s="40" t="str">
        <f>_xlfn.IFERROR(__xludf.DUMMYFUNCTION("""COMPUTED_VALUE"""),"Juraj")</f>
        <v>Juraj</v>
      </c>
      <c r="E94" s="7" t="s">
        <v>11</v>
      </c>
      <c r="F94" s="32" t="s">
        <v>3</v>
      </c>
      <c r="G94" s="27">
        <f>_xlfn.IFERROR(__xludf.DUMMYFUNCTION("""COMPUTED_VALUE"""),1983)</f>
        <v>1983</v>
      </c>
      <c r="H94" s="38" t="str">
        <f>_xlfn.IFERROR(__xludf.DUMMYFUNCTION("""COMPUTED_VALUE"""),"Sigord")</f>
        <v>Sigord</v>
      </c>
      <c r="I94" s="14" t="str">
        <f t="shared" si="2"/>
        <v>A</v>
      </c>
      <c r="J94" s="12">
        <f>COUNTIF(I$5:I94,I94)</f>
        <v>31</v>
      </c>
      <c r="K94" s="50">
        <v>0.03222222222222222</v>
      </c>
    </row>
    <row r="95" spans="1:11" ht="15" customHeight="1">
      <c r="A95" s="10">
        <v>91</v>
      </c>
      <c r="B95" s="13">
        <v>130</v>
      </c>
      <c r="C95" s="44" t="s">
        <v>98</v>
      </c>
      <c r="D95" s="42" t="s">
        <v>76</v>
      </c>
      <c r="E95" s="7" t="s">
        <v>11</v>
      </c>
      <c r="F95" s="13" t="s">
        <v>23</v>
      </c>
      <c r="G95" s="28">
        <v>1980</v>
      </c>
      <c r="H95" s="39" t="s">
        <v>26</v>
      </c>
      <c r="I95" s="14" t="str">
        <f t="shared" si="2"/>
        <v>G</v>
      </c>
      <c r="J95" s="12">
        <f>COUNTIF(I$5:I95,I95)</f>
        <v>4</v>
      </c>
      <c r="K95" s="50">
        <v>0.03236111111111111</v>
      </c>
    </row>
    <row r="96" spans="1:11" ht="15" customHeight="1">
      <c r="A96" s="5">
        <v>92</v>
      </c>
      <c r="B96" s="13">
        <v>19</v>
      </c>
      <c r="C96" s="45" t="str">
        <f>_xlfn.IFERROR(__xludf.DUMMYFUNCTION("""COMPUTED_VALUE"""),"BEDNÁR")</f>
        <v>BEDNÁR</v>
      </c>
      <c r="D96" s="40" t="str">
        <f>_xlfn.IFERROR(__xludf.DUMMYFUNCTION("""COMPUTED_VALUE"""),"František")</f>
        <v>František</v>
      </c>
      <c r="E96" s="7" t="s">
        <v>11</v>
      </c>
      <c r="F96" s="32" t="s">
        <v>3</v>
      </c>
      <c r="G96" s="27">
        <f>_xlfn.IFERROR(__xludf.DUMMYFUNCTION("""COMPUTED_VALUE"""),1958)</f>
        <v>1958</v>
      </c>
      <c r="H96" s="38" t="str">
        <f>_xlfn.IFERROR(__xludf.DUMMYFUNCTION("""COMPUTED_VALUE"""),"ZVL Prešov")</f>
        <v>ZVL Prešov</v>
      </c>
      <c r="I96" s="14" t="str">
        <f t="shared" si="2"/>
        <v>D</v>
      </c>
      <c r="J96" s="12">
        <f>COUNTIF(I$5:I96,I96)</f>
        <v>9</v>
      </c>
      <c r="K96" s="50">
        <v>0.03263888888888889</v>
      </c>
    </row>
    <row r="97" spans="1:11" s="104" customFormat="1" ht="15" customHeight="1">
      <c r="A97" s="110">
        <v>93</v>
      </c>
      <c r="B97" s="95">
        <v>124</v>
      </c>
      <c r="C97" s="96" t="s">
        <v>24</v>
      </c>
      <c r="D97" s="97" t="s">
        <v>27</v>
      </c>
      <c r="E97" s="98" t="s">
        <v>11</v>
      </c>
      <c r="F97" s="95" t="s">
        <v>23</v>
      </c>
      <c r="G97" s="99">
        <v>2005</v>
      </c>
      <c r="H97" s="100" t="s">
        <v>26</v>
      </c>
      <c r="I97" s="101" t="str">
        <f t="shared" si="2"/>
        <v>JŽ</v>
      </c>
      <c r="J97" s="102">
        <f>COUNTIF(I$5:I97,I97)</f>
        <v>2</v>
      </c>
      <c r="K97" s="103">
        <v>0.0328125</v>
      </c>
    </row>
    <row r="98" spans="1:11" s="104" customFormat="1" ht="15" customHeight="1">
      <c r="A98" s="94">
        <v>94</v>
      </c>
      <c r="B98" s="95">
        <v>93</v>
      </c>
      <c r="C98" s="111" t="str">
        <f>_xlfn.IFERROR(__xludf.DUMMYFUNCTION("""COMPUTED_VALUE"""),"STANEK")</f>
        <v>STANEK</v>
      </c>
      <c r="D98" s="112" t="str">
        <f>_xlfn.IFERROR(__xludf.DUMMYFUNCTION("""COMPUTED_VALUE"""),"František")</f>
        <v>František</v>
      </c>
      <c r="E98" s="98" t="s">
        <v>11</v>
      </c>
      <c r="F98" s="113" t="s">
        <v>3</v>
      </c>
      <c r="G98" s="114">
        <f>_xlfn.IFERROR(__xludf.DUMMYFUNCTION("""COMPUTED_VALUE"""),1945)</f>
        <v>1945</v>
      </c>
      <c r="H98" s="115" t="str">
        <f>_xlfn.IFERROR(__xludf.DUMMYFUNCTION("""COMPUTED_VALUE"""),"MTC Vyšná Šebasová")</f>
        <v>MTC Vyšná Šebasová</v>
      </c>
      <c r="I98" s="101" t="str">
        <f t="shared" si="2"/>
        <v>E</v>
      </c>
      <c r="J98" s="102">
        <f>COUNTIF(I$5:I98,I98)</f>
        <v>2</v>
      </c>
      <c r="K98" s="103">
        <v>0.03309027777777778</v>
      </c>
    </row>
    <row r="99" spans="1:11" ht="15" customHeight="1">
      <c r="A99" s="10">
        <v>95</v>
      </c>
      <c r="B99" s="13">
        <v>8</v>
      </c>
      <c r="C99" s="46" t="str">
        <f>_xlfn.IFERROR(__xludf.DUMMYFUNCTION("""COMPUTED_VALUE"""),"KUROPČÁKOVÁ")</f>
        <v>KUROPČÁKOVÁ</v>
      </c>
      <c r="D99" s="41" t="str">
        <f>_xlfn.IFERROR(__xludf.DUMMYFUNCTION("""COMPUTED_VALUE"""),"Martina")</f>
        <v>Martina</v>
      </c>
      <c r="E99" s="7" t="s">
        <v>11</v>
      </c>
      <c r="F99" s="31" t="s">
        <v>23</v>
      </c>
      <c r="G99" s="26">
        <f>_xlfn.IFERROR(__xludf.DUMMYFUNCTION("""COMPUTED_VALUE"""),1976)</f>
        <v>1976</v>
      </c>
      <c r="H99" s="37" t="str">
        <f>_xlfn.IFERROR(__xludf.DUMMYFUNCTION("""COMPUTED_VALUE"""),"Prešov")</f>
        <v>Prešov</v>
      </c>
      <c r="I99" s="14" t="str">
        <f t="shared" si="2"/>
        <v>G</v>
      </c>
      <c r="J99" s="12">
        <f>COUNTIF(I$5:I99,I99)</f>
        <v>5</v>
      </c>
      <c r="K99" s="50">
        <v>0.033229166666666664</v>
      </c>
    </row>
    <row r="100" spans="1:11" ht="15" customHeight="1">
      <c r="A100" s="5">
        <v>96</v>
      </c>
      <c r="B100" s="13">
        <v>35</v>
      </c>
      <c r="C100" s="46" t="str">
        <f>_xlfn.IFERROR(__xludf.DUMMYFUNCTION("""COMPUTED_VALUE"""),"JANIČKOVÁ")</f>
        <v>JANIČKOVÁ</v>
      </c>
      <c r="D100" s="41" t="str">
        <f>_xlfn.IFERROR(__xludf.DUMMYFUNCTION("""COMPUTED_VALUE"""),"Miroslava")</f>
        <v>Miroslava</v>
      </c>
      <c r="E100" s="7" t="s">
        <v>11</v>
      </c>
      <c r="F100" s="31" t="s">
        <v>23</v>
      </c>
      <c r="G100" s="26">
        <f>_xlfn.IFERROR(__xludf.DUMMYFUNCTION("""COMPUTED_VALUE"""),1976)</f>
        <v>1976</v>
      </c>
      <c r="H100" s="37" t="str">
        <f>_xlfn.IFERROR(__xludf.DUMMYFUNCTION("""COMPUTED_VALUE"""),"Prešov")</f>
        <v>Prešov</v>
      </c>
      <c r="I100" s="14" t="str">
        <f t="shared" si="2"/>
        <v>G</v>
      </c>
      <c r="J100" s="12">
        <f>COUNTIF(I$5:I100,I100)</f>
        <v>6</v>
      </c>
      <c r="K100" s="50">
        <v>0.03328703703703704</v>
      </c>
    </row>
    <row r="101" spans="1:11" ht="15" customHeight="1">
      <c r="A101" s="10">
        <v>97</v>
      </c>
      <c r="B101" s="13">
        <v>122</v>
      </c>
      <c r="C101" s="44" t="s">
        <v>24</v>
      </c>
      <c r="D101" s="42" t="s">
        <v>28</v>
      </c>
      <c r="E101" s="7" t="s">
        <v>11</v>
      </c>
      <c r="F101" s="13" t="s">
        <v>3</v>
      </c>
      <c r="G101" s="28">
        <v>2010</v>
      </c>
      <c r="H101" s="39" t="s">
        <v>26</v>
      </c>
      <c r="I101" s="14" t="str">
        <f aca="true" t="shared" si="3" ref="I101:I132">IF(F101="m",IF($G$1-$G101&lt;=17,"JM",IF($G$1-$G101&lt;=39,"A",IF($G$1-$G101&lt;=49,"B",IF($G$1-$G101&lt;=59,"C",IF($G$1-$G101&lt;=69,"D","E"))))),IF($G$1-$G101&lt;=17,"JŽ",IF($G$1-$G101&lt;=39,"F",IF($G$1-$G101&lt;=49,"G",IF($G$1-$G101&lt;=59,"H","I")))))</f>
        <v>JM</v>
      </c>
      <c r="J101" s="12">
        <f>COUNTIF(I$5:I101,I101)</f>
        <v>4</v>
      </c>
      <c r="K101" s="50">
        <v>0.03364583333333333</v>
      </c>
    </row>
    <row r="102" spans="1:11" ht="15" customHeight="1">
      <c r="A102" s="5">
        <v>98</v>
      </c>
      <c r="B102" s="13">
        <v>62</v>
      </c>
      <c r="C102" s="46" t="str">
        <f>_xlfn.IFERROR(__xludf.DUMMYFUNCTION("""COMPUTED_VALUE"""),"MITROVA")</f>
        <v>MITROVA</v>
      </c>
      <c r="D102" s="41" t="str">
        <f>_xlfn.IFERROR(__xludf.DUMMYFUNCTION("""COMPUTED_VALUE"""),"Iveta")</f>
        <v>Iveta</v>
      </c>
      <c r="E102" s="7" t="s">
        <v>11</v>
      </c>
      <c r="F102" s="31" t="s">
        <v>23</v>
      </c>
      <c r="G102" s="26">
        <f>_xlfn.IFERROR(__xludf.DUMMYFUNCTION("""COMPUTED_VALUE"""),1981)</f>
        <v>1981</v>
      </c>
      <c r="H102" s="37" t="str">
        <f>_xlfn.IFERROR(__xludf.DUMMYFUNCTION("""COMPUTED_VALUE"""),"Košice")</f>
        <v>Košice</v>
      </c>
      <c r="I102" s="14" t="str">
        <f t="shared" si="3"/>
        <v>F</v>
      </c>
      <c r="J102" s="12">
        <f>COUNTIF(I$5:I102,I102)</f>
        <v>13</v>
      </c>
      <c r="K102" s="50">
        <v>0.03366898148148148</v>
      </c>
    </row>
    <row r="103" spans="1:11" ht="15" customHeight="1">
      <c r="A103" s="10">
        <v>99</v>
      </c>
      <c r="B103" s="13">
        <v>63</v>
      </c>
      <c r="C103" s="46" t="str">
        <f>_xlfn.IFERROR(__xludf.DUMMYFUNCTION("""COMPUTED_VALUE"""),"VIŠŇOVSKÝ")</f>
        <v>VIŠŇOVSKÝ</v>
      </c>
      <c r="D103" s="41" t="str">
        <f>_xlfn.IFERROR(__xludf.DUMMYFUNCTION("""COMPUTED_VALUE"""),"Maroš")</f>
        <v>Maroš</v>
      </c>
      <c r="E103" s="7" t="s">
        <v>11</v>
      </c>
      <c r="F103" s="31" t="s">
        <v>3</v>
      </c>
      <c r="G103" s="26">
        <f>_xlfn.IFERROR(__xludf.DUMMYFUNCTION("""COMPUTED_VALUE"""),1987)</f>
        <v>1987</v>
      </c>
      <c r="H103" s="37" t="str">
        <f>_xlfn.IFERROR(__xludf.DUMMYFUNCTION("""COMPUTED_VALUE"""),"Prešov")</f>
        <v>Prešov</v>
      </c>
      <c r="I103" s="14" t="str">
        <f t="shared" si="3"/>
        <v>A</v>
      </c>
      <c r="J103" s="12">
        <f>COUNTIF(I$5:I103,I103)</f>
        <v>32</v>
      </c>
      <c r="K103" s="50">
        <v>0.03366898148148148</v>
      </c>
    </row>
    <row r="104" spans="1:11" ht="15" customHeight="1">
      <c r="A104" s="5">
        <v>100</v>
      </c>
      <c r="B104" s="13">
        <v>61</v>
      </c>
      <c r="C104" s="46" t="str">
        <f>_xlfn.IFERROR(__xludf.DUMMYFUNCTION("""COMPUTED_VALUE"""),"ČOPJAK")</f>
        <v>ČOPJAK</v>
      </c>
      <c r="D104" s="41" t="str">
        <f>_xlfn.IFERROR(__xludf.DUMMYFUNCTION("""COMPUTED_VALUE"""),"Miroslav")</f>
        <v>Miroslav</v>
      </c>
      <c r="E104" s="7" t="s">
        <v>11</v>
      </c>
      <c r="F104" s="31" t="s">
        <v>3</v>
      </c>
      <c r="G104" s="26">
        <f>_xlfn.IFERROR(__xludf.DUMMYFUNCTION("""COMPUTED_VALUE"""),1985)</f>
        <v>1985</v>
      </c>
      <c r="H104" s="37" t="str">
        <f>_xlfn.IFERROR(__xludf.DUMMYFUNCTION("""COMPUTED_VALUE"""),"Lektvare")</f>
        <v>Lektvare</v>
      </c>
      <c r="I104" s="14" t="str">
        <f t="shared" si="3"/>
        <v>A</v>
      </c>
      <c r="J104" s="12">
        <f>COUNTIF(I$5:I104,I104)</f>
        <v>33</v>
      </c>
      <c r="K104" s="50">
        <v>0.03375</v>
      </c>
    </row>
    <row r="105" spans="1:11" ht="15" customHeight="1">
      <c r="A105" s="10">
        <v>101</v>
      </c>
      <c r="B105" s="13">
        <v>49</v>
      </c>
      <c r="C105" s="44" t="s">
        <v>60</v>
      </c>
      <c r="D105" s="42" t="s">
        <v>61</v>
      </c>
      <c r="E105" s="7" t="s">
        <v>11</v>
      </c>
      <c r="F105" s="13" t="s">
        <v>23</v>
      </c>
      <c r="G105" s="28">
        <v>1985</v>
      </c>
      <c r="H105" s="39" t="s">
        <v>26</v>
      </c>
      <c r="I105" s="14" t="str">
        <f t="shared" si="3"/>
        <v>F</v>
      </c>
      <c r="J105" s="12">
        <f>COUNTIF(I$5:I105,I105)</f>
        <v>14</v>
      </c>
      <c r="K105" s="50">
        <v>0.03417824074074074</v>
      </c>
    </row>
    <row r="106" spans="1:11" ht="15" customHeight="1">
      <c r="A106" s="5">
        <v>102</v>
      </c>
      <c r="B106" s="13">
        <v>77</v>
      </c>
      <c r="C106" s="44" t="s">
        <v>80</v>
      </c>
      <c r="D106" s="42" t="s">
        <v>81</v>
      </c>
      <c r="E106" s="7" t="s">
        <v>11</v>
      </c>
      <c r="F106" s="13" t="s">
        <v>23</v>
      </c>
      <c r="G106" s="28">
        <v>1997</v>
      </c>
      <c r="H106" s="39" t="s">
        <v>82</v>
      </c>
      <c r="I106" s="14" t="str">
        <f t="shared" si="3"/>
        <v>F</v>
      </c>
      <c r="J106" s="12">
        <f>COUNTIF(I$5:I106,I106)</f>
        <v>15</v>
      </c>
      <c r="K106" s="50">
        <v>0.03451388888888889</v>
      </c>
    </row>
    <row r="107" spans="1:11" ht="15" customHeight="1">
      <c r="A107" s="10">
        <v>103</v>
      </c>
      <c r="B107" s="13">
        <v>99</v>
      </c>
      <c r="C107" s="46" t="str">
        <f>_xlfn.IFERROR(__xludf.DUMMYFUNCTION("""COMPUTED_VALUE"""),"RUSINKO")</f>
        <v>RUSINKO</v>
      </c>
      <c r="D107" s="41" t="str">
        <f>_xlfn.IFERROR(__xludf.DUMMYFUNCTION("""COMPUTED_VALUE"""),"Miroslav")</f>
        <v>Miroslav</v>
      </c>
      <c r="E107" s="7" t="s">
        <v>11</v>
      </c>
      <c r="F107" s="31" t="s">
        <v>3</v>
      </c>
      <c r="G107" s="26">
        <f>_xlfn.IFERROR(__xludf.DUMMYFUNCTION("""COMPUTED_VALUE"""),1967)</f>
        <v>1967</v>
      </c>
      <c r="H107" s="37" t="str">
        <f>_xlfn.IFERROR(__xludf.DUMMYFUNCTION("""COMPUTED_VALUE"""),"MARAS team")</f>
        <v>MARAS team</v>
      </c>
      <c r="I107" s="14" t="str">
        <f t="shared" si="3"/>
        <v>C</v>
      </c>
      <c r="J107" s="12">
        <f>COUNTIF(I$5:I107,I107)</f>
        <v>15</v>
      </c>
      <c r="K107" s="50">
        <v>0.034826388888888886</v>
      </c>
    </row>
    <row r="108" spans="1:11" ht="15" customHeight="1">
      <c r="A108" s="5">
        <v>104</v>
      </c>
      <c r="B108" s="13">
        <v>129</v>
      </c>
      <c r="C108" s="46" t="str">
        <f>_xlfn.IFERROR(__xludf.DUMMYFUNCTION("""COMPUTED_VALUE"""),"POGÁNY")</f>
        <v>POGÁNY</v>
      </c>
      <c r="D108" s="41" t="str">
        <f>_xlfn.IFERROR(__xludf.DUMMYFUNCTION("""COMPUTED_VALUE"""),"Branko")</f>
        <v>Branko</v>
      </c>
      <c r="E108" s="7" t="s">
        <v>11</v>
      </c>
      <c r="F108" s="31" t="s">
        <v>3</v>
      </c>
      <c r="G108" s="26">
        <f>_xlfn.IFERROR(__xludf.DUMMYFUNCTION("""COMPUTED_VALUE"""),1978)</f>
        <v>1978</v>
      </c>
      <c r="H108" s="37" t="str">
        <f>_xlfn.IFERROR(__xludf.DUMMYFUNCTION("""COMPUTED_VALUE"""),"Active Life Košice")</f>
        <v>Active Life Košice</v>
      </c>
      <c r="I108" s="14" t="str">
        <f t="shared" si="3"/>
        <v>B</v>
      </c>
      <c r="J108" s="12">
        <f>COUNTIF(I$5:I108,I108)</f>
        <v>14</v>
      </c>
      <c r="K108" s="50">
        <v>0.034930555555555555</v>
      </c>
    </row>
    <row r="109" spans="1:11" ht="15" customHeight="1">
      <c r="A109" s="10">
        <v>105</v>
      </c>
      <c r="B109" s="13">
        <v>60</v>
      </c>
      <c r="C109" s="45" t="str">
        <f>_xlfn.IFERROR(__xludf.DUMMYFUNCTION("""COMPUTED_VALUE"""),"DOVALOVÁ")</f>
        <v>DOVALOVÁ</v>
      </c>
      <c r="D109" s="40" t="str">
        <f>_xlfn.IFERROR(__xludf.DUMMYFUNCTION("""COMPUTED_VALUE"""),"Zuzana")</f>
        <v>Zuzana</v>
      </c>
      <c r="E109" s="7" t="s">
        <v>11</v>
      </c>
      <c r="F109" s="32" t="s">
        <v>23</v>
      </c>
      <c r="G109" s="27">
        <f>_xlfn.IFERROR(__xludf.DUMMYFUNCTION("""COMPUTED_VALUE"""),1973)</f>
        <v>1973</v>
      </c>
      <c r="H109" s="38" t="str">
        <f>_xlfn.IFERROR(__xludf.DUMMYFUNCTION("""COMPUTED_VALUE"""),"Lektvare Levoča")</f>
        <v>Lektvare Levoča</v>
      </c>
      <c r="I109" s="14" t="str">
        <f t="shared" si="3"/>
        <v>G</v>
      </c>
      <c r="J109" s="12">
        <f>COUNTIF(I$5:I109,I109)</f>
        <v>7</v>
      </c>
      <c r="K109" s="50">
        <v>0.03540509259259259</v>
      </c>
    </row>
    <row r="110" spans="1:11" ht="15" customHeight="1">
      <c r="A110" s="5">
        <v>106</v>
      </c>
      <c r="B110" s="13">
        <v>134</v>
      </c>
      <c r="C110" s="45" t="str">
        <f>_xlfn.IFERROR(__xludf.DUMMYFUNCTION("""COMPUTED_VALUE"""),"GYORIOVÁ")</f>
        <v>GYORIOVÁ</v>
      </c>
      <c r="D110" s="40" t="str">
        <f>_xlfn.IFERROR(__xludf.DUMMYFUNCTION("""COMPUTED_VALUE"""),"Monika")</f>
        <v>Monika</v>
      </c>
      <c r="E110" s="7" t="s">
        <v>11</v>
      </c>
      <c r="F110" s="32" t="s">
        <v>23</v>
      </c>
      <c r="G110" s="27">
        <f>_xlfn.IFERROR(__xludf.DUMMYFUNCTION("""COMPUTED_VALUE"""),1979)</f>
        <v>1979</v>
      </c>
      <c r="H110" s="38" t="str">
        <f>_xlfn.IFERROR(__xludf.DUMMYFUNCTION("""COMPUTED_VALUE"""),"Active life ")</f>
        <v>Active life </v>
      </c>
      <c r="I110" s="14" t="str">
        <f t="shared" si="3"/>
        <v>G</v>
      </c>
      <c r="J110" s="12">
        <f>COUNTIF(I$5:I110,I110)</f>
        <v>8</v>
      </c>
      <c r="K110" s="50">
        <v>0.03547453703703704</v>
      </c>
    </row>
    <row r="111" spans="1:11" ht="15" customHeight="1">
      <c r="A111" s="10">
        <v>107</v>
      </c>
      <c r="B111" s="13">
        <v>73</v>
      </c>
      <c r="C111" s="46" t="str">
        <f>_xlfn.IFERROR(__xludf.DUMMYFUNCTION("""COMPUTED_VALUE"""),"GRÁC")</f>
        <v>GRÁC</v>
      </c>
      <c r="D111" s="41" t="s">
        <v>19</v>
      </c>
      <c r="E111" s="7" t="s">
        <v>11</v>
      </c>
      <c r="F111" s="31" t="s">
        <v>3</v>
      </c>
      <c r="G111" s="26">
        <f>_xlfn.IFERROR(__xludf.DUMMYFUNCTION("""COMPUTED_VALUE"""),1964)</f>
        <v>1964</v>
      </c>
      <c r="H111" s="37" t="str">
        <f>_xlfn.IFERROR(__xludf.DUMMYFUNCTION("""COMPUTED_VALUE"""),"Poproč ")</f>
        <v>Poproč </v>
      </c>
      <c r="I111" s="14" t="str">
        <f t="shared" si="3"/>
        <v>C</v>
      </c>
      <c r="J111" s="12">
        <f>COUNTIF(I$5:I111,I111)</f>
        <v>16</v>
      </c>
      <c r="K111" s="50">
        <v>0.03556712962962963</v>
      </c>
    </row>
    <row r="112" spans="1:11" ht="15" customHeight="1">
      <c r="A112" s="5">
        <v>108</v>
      </c>
      <c r="B112" s="13">
        <v>107</v>
      </c>
      <c r="C112" s="45" t="str">
        <f>_xlfn.IFERROR(__xludf.DUMMYFUNCTION("""COMPUTED_VALUE"""),"KOBULSKÝ")</f>
        <v>KOBULSKÝ</v>
      </c>
      <c r="D112" s="40" t="str">
        <f>_xlfn.IFERROR(__xludf.DUMMYFUNCTION("""COMPUTED_VALUE"""),"Juraj")</f>
        <v>Juraj</v>
      </c>
      <c r="E112" s="7" t="s">
        <v>11</v>
      </c>
      <c r="F112" s="32" t="s">
        <v>3</v>
      </c>
      <c r="G112" s="27">
        <f>_xlfn.IFERROR(__xludf.DUMMYFUNCTION("""COMPUTED_VALUE"""),1971)</f>
        <v>1971</v>
      </c>
      <c r="H112" s="38" t="str">
        <f>_xlfn.IFERROR(__xludf.DUMMYFUNCTION("""COMPUTED_VALUE"""),"Prešov")</f>
        <v>Prešov</v>
      </c>
      <c r="I112" s="14" t="str">
        <f t="shared" si="3"/>
        <v>B</v>
      </c>
      <c r="J112" s="12">
        <f>COUNTIF(I$5:I112,I112)</f>
        <v>15</v>
      </c>
      <c r="K112" s="50">
        <v>0.035833333333333335</v>
      </c>
    </row>
    <row r="113" spans="1:11" s="127" customFormat="1" ht="15" customHeight="1">
      <c r="A113" s="116">
        <v>109</v>
      </c>
      <c r="B113" s="117">
        <v>45</v>
      </c>
      <c r="C113" s="128" t="str">
        <f>_xlfn.IFERROR(__xludf.DUMMYFUNCTION("""COMPUTED_VALUE"""),"SEMAN")</f>
        <v>SEMAN</v>
      </c>
      <c r="D113" s="129" t="str">
        <f>_xlfn.IFERROR(__xludf.DUMMYFUNCTION("""COMPUTED_VALUE"""),"Tomáš")</f>
        <v>Tomáš</v>
      </c>
      <c r="E113" s="120" t="s">
        <v>11</v>
      </c>
      <c r="F113" s="130" t="s">
        <v>3</v>
      </c>
      <c r="G113" s="131">
        <f>_xlfn.IFERROR(__xludf.DUMMYFUNCTION("""COMPUTED_VALUE"""),1948)</f>
        <v>1948</v>
      </c>
      <c r="H113" s="132" t="str">
        <f>_xlfn.IFERROR(__xludf.DUMMYFUNCTION("""COMPUTED_VALUE"""),"Vrtuľníkove krídlo Prešov")</f>
        <v>Vrtuľníkove krídlo Prešov</v>
      </c>
      <c r="I113" s="124" t="str">
        <f t="shared" si="3"/>
        <v>E</v>
      </c>
      <c r="J113" s="125">
        <f>COUNTIF(I$5:I113,I113)</f>
        <v>3</v>
      </c>
      <c r="K113" s="126">
        <v>0.03584490740740741</v>
      </c>
    </row>
    <row r="114" spans="1:11" ht="15" customHeight="1">
      <c r="A114" s="5">
        <v>110</v>
      </c>
      <c r="B114" s="13">
        <v>68</v>
      </c>
      <c r="C114" s="45" t="str">
        <f>_xlfn.IFERROR(__xludf.DUMMYFUNCTION("""COMPUTED_VALUE"""),"ZUBAL")</f>
        <v>ZUBAL</v>
      </c>
      <c r="D114" s="40" t="str">
        <f>_xlfn.IFERROR(__xludf.DUMMYFUNCTION("""COMPUTED_VALUE"""),"Pavol")</f>
        <v>Pavol</v>
      </c>
      <c r="E114" s="7" t="s">
        <v>11</v>
      </c>
      <c r="F114" s="32" t="s">
        <v>3</v>
      </c>
      <c r="G114" s="27">
        <f>_xlfn.IFERROR(__xludf.DUMMYFUNCTION("""COMPUTED_VALUE"""),1962)</f>
        <v>1962</v>
      </c>
      <c r="H114" s="38" t="str">
        <f>_xlfn.IFERROR(__xludf.DUMMYFUNCTION("""COMPUTED_VALUE"""),"MARAS team")</f>
        <v>MARAS team</v>
      </c>
      <c r="I114" s="14" t="str">
        <f t="shared" si="3"/>
        <v>C</v>
      </c>
      <c r="J114" s="12">
        <f>COUNTIF(I$5:I114,I114)</f>
        <v>17</v>
      </c>
      <c r="K114" s="50">
        <v>0.03619212962962963</v>
      </c>
    </row>
    <row r="115" spans="1:11" ht="15" customHeight="1">
      <c r="A115" s="10">
        <v>111</v>
      </c>
      <c r="B115" s="13">
        <v>20</v>
      </c>
      <c r="C115" s="45" t="str">
        <f>_xlfn.IFERROR(__xludf.DUMMYFUNCTION("""COMPUTED_VALUE"""),"JENCIKOVA")</f>
        <v>JENCIKOVA</v>
      </c>
      <c r="D115" s="40" t="str">
        <f>_xlfn.IFERROR(__xludf.DUMMYFUNCTION("""COMPUTED_VALUE"""),"Marianna")</f>
        <v>Marianna</v>
      </c>
      <c r="E115" s="7" t="s">
        <v>11</v>
      </c>
      <c r="F115" s="32" t="s">
        <v>23</v>
      </c>
      <c r="G115" s="27">
        <f>_xlfn.IFERROR(__xludf.DUMMYFUNCTION("""COMPUTED_VALUE"""),1980)</f>
        <v>1980</v>
      </c>
      <c r="H115" s="38" t="str">
        <f>_xlfn.IFERROR(__xludf.DUMMYFUNCTION("""COMPUTED_VALUE"""),"Prešov")</f>
        <v>Prešov</v>
      </c>
      <c r="I115" s="14" t="str">
        <f t="shared" si="3"/>
        <v>G</v>
      </c>
      <c r="J115" s="12">
        <f>COUNTIF(I$5:I115,I115)</f>
        <v>9</v>
      </c>
      <c r="K115" s="50">
        <v>0.03633101851851852</v>
      </c>
    </row>
    <row r="116" spans="1:11" ht="15" customHeight="1">
      <c r="A116" s="5">
        <v>112</v>
      </c>
      <c r="B116" s="13">
        <v>78</v>
      </c>
      <c r="C116" s="46" t="str">
        <f>_xlfn.IFERROR(__xludf.DUMMYFUNCTION("""COMPUTED_VALUE"""),"SCHENK")</f>
        <v>SCHENK</v>
      </c>
      <c r="D116" s="41" t="str">
        <f>_xlfn.IFERROR(__xludf.DUMMYFUNCTION("""COMPUTED_VALUE"""),"Ľubomíra")</f>
        <v>Ľubomíra</v>
      </c>
      <c r="E116" s="7" t="s">
        <v>11</v>
      </c>
      <c r="F116" s="31" t="s">
        <v>23</v>
      </c>
      <c r="G116" s="26">
        <f>_xlfn.IFERROR(__xludf.DUMMYFUNCTION("""COMPUTED_VALUE"""),1981)</f>
        <v>1981</v>
      </c>
      <c r="H116" s="37" t="str">
        <f>_xlfn.IFERROR(__xludf.DUMMYFUNCTION("""COMPUTED_VALUE"""),"Prešov ")</f>
        <v>Prešov </v>
      </c>
      <c r="I116" s="14" t="str">
        <f t="shared" si="3"/>
        <v>F</v>
      </c>
      <c r="J116" s="12">
        <f>COUNTIF(I$5:I116,I116)</f>
        <v>16</v>
      </c>
      <c r="K116" s="50">
        <v>0.03648148148148148</v>
      </c>
    </row>
    <row r="117" spans="1:11" ht="15" customHeight="1">
      <c r="A117" s="10">
        <v>113</v>
      </c>
      <c r="B117" s="13">
        <v>50</v>
      </c>
      <c r="C117" s="45" t="str">
        <f>_xlfn.IFERROR(__xludf.DUMMYFUNCTION("""COMPUTED_VALUE"""),"SIVUĽKOVÁ")</f>
        <v>SIVUĽKOVÁ</v>
      </c>
      <c r="D117" s="40" t="s">
        <v>20</v>
      </c>
      <c r="E117" s="7" t="s">
        <v>11</v>
      </c>
      <c r="F117" s="32" t="s">
        <v>23</v>
      </c>
      <c r="G117" s="27">
        <f>_xlfn.IFERROR(__xludf.DUMMYFUNCTION("""COMPUTED_VALUE"""),1982)</f>
        <v>1982</v>
      </c>
      <c r="H117" s="38" t="str">
        <f>_xlfn.IFERROR(__xludf.DUMMYFUNCTION("""COMPUTED_VALUE"""),"Maras team")</f>
        <v>Maras team</v>
      </c>
      <c r="I117" s="14" t="str">
        <f t="shared" si="3"/>
        <v>F</v>
      </c>
      <c r="J117" s="12">
        <f>COUNTIF(I$5:I117,I117)</f>
        <v>17</v>
      </c>
      <c r="K117" s="50">
        <v>0.03684027777777778</v>
      </c>
    </row>
    <row r="118" spans="1:11" ht="15" customHeight="1">
      <c r="A118" s="5">
        <v>114</v>
      </c>
      <c r="B118" s="13">
        <v>100</v>
      </c>
      <c r="C118" s="45" t="str">
        <f>_xlfn.IFERROR(__xludf.DUMMYFUNCTION("""COMPUTED_VALUE"""),"JONEKOVÁ")</f>
        <v>JONEKOVÁ</v>
      </c>
      <c r="D118" s="40" t="str">
        <f>_xlfn.IFERROR(__xludf.DUMMYFUNCTION("""COMPUTED_VALUE"""),"Lenka")</f>
        <v>Lenka</v>
      </c>
      <c r="E118" s="7" t="s">
        <v>11</v>
      </c>
      <c r="F118" s="32" t="s">
        <v>23</v>
      </c>
      <c r="G118" s="27">
        <f>_xlfn.IFERROR(__xludf.DUMMYFUNCTION("""COMPUTED_VALUE"""),1985)</f>
        <v>1985</v>
      </c>
      <c r="H118" s="38" t="str">
        <f>_xlfn.IFERROR(__xludf.DUMMYFUNCTION("""COMPUTED_VALUE"""),"Run 4 Fun Kazimír ")</f>
        <v>Run 4 Fun Kazimír </v>
      </c>
      <c r="I118" s="14" t="str">
        <f t="shared" si="3"/>
        <v>F</v>
      </c>
      <c r="J118" s="12">
        <f>COUNTIF(I$5:I118,I118)</f>
        <v>18</v>
      </c>
      <c r="K118" s="50">
        <v>0.03685185185185185</v>
      </c>
    </row>
    <row r="119" spans="1:11" ht="15" customHeight="1">
      <c r="A119" s="10">
        <v>115</v>
      </c>
      <c r="B119" s="13">
        <v>101</v>
      </c>
      <c r="C119" s="46" t="str">
        <f>_xlfn.IFERROR(__xludf.DUMMYFUNCTION("""COMPUTED_VALUE"""),"DEMČO")</f>
        <v>DEMČO</v>
      </c>
      <c r="D119" s="41" t="str">
        <f>_xlfn.IFERROR(__xludf.DUMMYFUNCTION("""COMPUTED_VALUE"""),"Michal")</f>
        <v>Michal</v>
      </c>
      <c r="E119" s="7" t="s">
        <v>11</v>
      </c>
      <c r="F119" s="31" t="s">
        <v>3</v>
      </c>
      <c r="G119" s="26">
        <f>_xlfn.IFERROR(__xludf.DUMMYFUNCTION("""COMPUTED_VALUE"""),1993)</f>
        <v>1993</v>
      </c>
      <c r="H119" s="37" t="str">
        <f>_xlfn.IFERROR(__xludf.DUMMYFUNCTION("""COMPUTED_VALUE"""),"KAMI kov ")</f>
        <v>KAMI kov </v>
      </c>
      <c r="I119" s="14" t="str">
        <f t="shared" si="3"/>
        <v>A</v>
      </c>
      <c r="J119" s="12">
        <f>COUNTIF(I$5:I119,I119)</f>
        <v>34</v>
      </c>
      <c r="K119" s="50">
        <v>0.03685185185185185</v>
      </c>
    </row>
    <row r="120" spans="1:11" ht="15" customHeight="1">
      <c r="A120" s="5">
        <v>116</v>
      </c>
      <c r="B120" s="13">
        <v>137</v>
      </c>
      <c r="C120" s="45" t="str">
        <f>_xlfn.IFERROR(__xludf.DUMMYFUNCTION("""COMPUTED_VALUE"""),"IHNATOVÁ")</f>
        <v>IHNATOVÁ</v>
      </c>
      <c r="D120" s="40" t="str">
        <f>_xlfn.IFERROR(__xludf.DUMMYFUNCTION("""COMPUTED_VALUE"""),"Monika")</f>
        <v>Monika</v>
      </c>
      <c r="E120" s="7" t="s">
        <v>11</v>
      </c>
      <c r="F120" s="32" t="s">
        <v>23</v>
      </c>
      <c r="G120" s="27">
        <f>_xlfn.IFERROR(__xludf.DUMMYFUNCTION("""COMPUTED_VALUE"""),1967)</f>
        <v>1967</v>
      </c>
      <c r="H120" s="38" t="str">
        <f>_xlfn.IFERROR(__xludf.DUMMYFUNCTION("""COMPUTED_VALUE"""),"MARAS team")</f>
        <v>MARAS team</v>
      </c>
      <c r="I120" s="14" t="str">
        <f t="shared" si="3"/>
        <v>H</v>
      </c>
      <c r="J120" s="12">
        <f>COUNTIF(I$5:I120,I120)</f>
        <v>4</v>
      </c>
      <c r="K120" s="50">
        <v>0.03716435185185185</v>
      </c>
    </row>
    <row r="121" spans="1:11" ht="15" customHeight="1">
      <c r="A121" s="10">
        <v>117</v>
      </c>
      <c r="B121" s="13">
        <v>17</v>
      </c>
      <c r="C121" s="44" t="s">
        <v>42</v>
      </c>
      <c r="D121" s="42" t="s">
        <v>22</v>
      </c>
      <c r="E121" s="7" t="s">
        <v>11</v>
      </c>
      <c r="F121" s="13" t="s">
        <v>3</v>
      </c>
      <c r="G121" s="28">
        <v>1950</v>
      </c>
      <c r="H121" s="39" t="s">
        <v>43</v>
      </c>
      <c r="I121" s="14" t="str">
        <f t="shared" si="3"/>
        <v>E</v>
      </c>
      <c r="J121" s="12">
        <f>COUNTIF(I$5:I121,I121)</f>
        <v>4</v>
      </c>
      <c r="K121" s="50">
        <v>0.03730324074074074</v>
      </c>
    </row>
    <row r="122" spans="1:11" ht="15" customHeight="1">
      <c r="A122" s="5">
        <v>118</v>
      </c>
      <c r="B122" s="13">
        <v>117</v>
      </c>
      <c r="C122" s="45" t="str">
        <f>_xlfn.IFERROR(__xludf.DUMMYFUNCTION("""COMPUTED_VALUE"""),"SABOL")</f>
        <v>SABOL</v>
      </c>
      <c r="D122" s="40" t="str">
        <f>_xlfn.IFERROR(__xludf.DUMMYFUNCTION("""COMPUTED_VALUE"""),"Marek")</f>
        <v>Marek</v>
      </c>
      <c r="E122" s="7" t="s">
        <v>11</v>
      </c>
      <c r="F122" s="32" t="s">
        <v>3</v>
      </c>
      <c r="G122" s="27">
        <f>_xlfn.IFERROR(__xludf.DUMMYFUNCTION("""COMPUTED_VALUE"""),1991)</f>
        <v>1991</v>
      </c>
      <c r="H122" s="38" t="str">
        <f>_xlfn.IFERROR(__xludf.DUMMYFUNCTION("""COMPUTED_VALUE"""),"Active life")</f>
        <v>Active life</v>
      </c>
      <c r="I122" s="14" t="str">
        <f t="shared" si="3"/>
        <v>A</v>
      </c>
      <c r="J122" s="12">
        <f>COUNTIF(I$5:I122,I122)</f>
        <v>35</v>
      </c>
      <c r="K122" s="50">
        <v>0.037453703703703704</v>
      </c>
    </row>
    <row r="123" spans="1:11" s="104" customFormat="1" ht="15" customHeight="1">
      <c r="A123" s="110">
        <v>119</v>
      </c>
      <c r="B123" s="95">
        <v>72</v>
      </c>
      <c r="C123" s="96" t="s">
        <v>111</v>
      </c>
      <c r="D123" s="97" t="s">
        <v>61</v>
      </c>
      <c r="E123" s="98" t="s">
        <v>11</v>
      </c>
      <c r="F123" s="95" t="s">
        <v>23</v>
      </c>
      <c r="G123" s="99">
        <v>1959</v>
      </c>
      <c r="H123" s="100" t="s">
        <v>74</v>
      </c>
      <c r="I123" s="101" t="str">
        <f t="shared" si="3"/>
        <v>I</v>
      </c>
      <c r="J123" s="102">
        <f>COUNTIF(I$5:I123,I123)</f>
        <v>2</v>
      </c>
      <c r="K123" s="103">
        <v>0.03747685185185185</v>
      </c>
    </row>
    <row r="124" spans="1:11" ht="15" customHeight="1">
      <c r="A124" s="5">
        <v>120</v>
      </c>
      <c r="B124" s="13">
        <v>22</v>
      </c>
      <c r="C124" s="45" t="str">
        <f>_xlfn.IFERROR(__xludf.DUMMYFUNCTION("""COMPUTED_VALUE"""),"RIŇAK")</f>
        <v>RIŇAK</v>
      </c>
      <c r="D124" s="40" t="str">
        <f>_xlfn.IFERROR(__xludf.DUMMYFUNCTION("""COMPUTED_VALUE"""),"Martin")</f>
        <v>Martin</v>
      </c>
      <c r="E124" s="7" t="s">
        <v>11</v>
      </c>
      <c r="F124" s="32" t="s">
        <v>3</v>
      </c>
      <c r="G124" s="27">
        <f>_xlfn.IFERROR(__xludf.DUMMYFUNCTION("""COMPUTED_VALUE"""),1987)</f>
        <v>1987</v>
      </c>
      <c r="H124" s="38" t="str">
        <f>_xlfn.IFERROR(__xludf.DUMMYFUNCTION("""COMPUTED_VALUE"""),"BFG")</f>
        <v>BFG</v>
      </c>
      <c r="I124" s="14" t="str">
        <f t="shared" si="3"/>
        <v>A</v>
      </c>
      <c r="J124" s="12">
        <f>COUNTIF(I$5:I124,I124)</f>
        <v>36</v>
      </c>
      <c r="K124" s="50">
        <v>0.03753472222222222</v>
      </c>
    </row>
    <row r="125" spans="1:11" ht="15" customHeight="1">
      <c r="A125" s="10">
        <v>121</v>
      </c>
      <c r="B125" s="13">
        <v>26</v>
      </c>
      <c r="C125" s="46" t="str">
        <f>_xlfn.IFERROR(__xludf.DUMMYFUNCTION("""COMPUTED_VALUE"""),"REPKOVÁ")</f>
        <v>REPKOVÁ</v>
      </c>
      <c r="D125" s="41" t="str">
        <f>_xlfn.IFERROR(__xludf.DUMMYFUNCTION("""COMPUTED_VALUE"""),"Radka")</f>
        <v>Radka</v>
      </c>
      <c r="E125" s="7" t="s">
        <v>11</v>
      </c>
      <c r="F125" s="31" t="s">
        <v>23</v>
      </c>
      <c r="G125" s="26">
        <f>_xlfn.IFERROR(__xludf.DUMMYFUNCTION("""COMPUTED_VALUE"""),1990)</f>
        <v>1990</v>
      </c>
      <c r="H125" s="37" t="str">
        <f>_xlfn.IFERROR(__xludf.DUMMYFUNCTION("""COMPUTED_VALUE"""),"Prešov")</f>
        <v>Prešov</v>
      </c>
      <c r="I125" s="14" t="str">
        <f t="shared" si="3"/>
        <v>F</v>
      </c>
      <c r="J125" s="12">
        <f>COUNTIF(I$5:I125,I125)</f>
        <v>19</v>
      </c>
      <c r="K125" s="50">
        <v>0.03753472222222222</v>
      </c>
    </row>
    <row r="126" spans="1:11" ht="15" customHeight="1">
      <c r="A126" s="5">
        <v>122</v>
      </c>
      <c r="B126" s="13">
        <v>32</v>
      </c>
      <c r="C126" s="46" t="str">
        <f>_xlfn.IFERROR(__xludf.DUMMYFUNCTION("""COMPUTED_VALUE"""),"DAŇKOVÁ")</f>
        <v>DAŇKOVÁ</v>
      </c>
      <c r="D126" s="41" t="str">
        <f>_xlfn.IFERROR(__xludf.DUMMYFUNCTION("""COMPUTED_VALUE"""),"Andrea")</f>
        <v>Andrea</v>
      </c>
      <c r="E126" s="7" t="s">
        <v>11</v>
      </c>
      <c r="F126" s="31" t="s">
        <v>23</v>
      </c>
      <c r="G126" s="26">
        <f>_xlfn.IFERROR(__xludf.DUMMYFUNCTION("""COMPUTED_VALUE"""),1977)</f>
        <v>1977</v>
      </c>
      <c r="H126" s="37" t="str">
        <f>_xlfn.IFERROR(__xludf.DUMMYFUNCTION("""COMPUTED_VALUE"""),"MARAS team")</f>
        <v>MARAS team</v>
      </c>
      <c r="I126" s="14" t="str">
        <f t="shared" si="3"/>
        <v>G</v>
      </c>
      <c r="J126" s="12">
        <f>COUNTIF(I$5:I126,I126)</f>
        <v>10</v>
      </c>
      <c r="K126" s="50">
        <v>0.03846064814814815</v>
      </c>
    </row>
    <row r="127" spans="1:11" ht="15" customHeight="1">
      <c r="A127" s="10">
        <v>123</v>
      </c>
      <c r="B127" s="13">
        <v>11</v>
      </c>
      <c r="C127" s="45" t="str">
        <f>_xlfn.IFERROR(__xludf.DUMMYFUNCTION("""COMPUTED_VALUE"""),"MARAS")</f>
        <v>MARAS</v>
      </c>
      <c r="D127" s="40" t="str">
        <f>_xlfn.IFERROR(__xludf.DUMMYFUNCTION("""COMPUTED_VALUE"""),"Ladislav")</f>
        <v>Ladislav</v>
      </c>
      <c r="E127" s="7" t="s">
        <v>11</v>
      </c>
      <c r="F127" s="32" t="s">
        <v>3</v>
      </c>
      <c r="G127" s="27">
        <f>_xlfn.IFERROR(__xludf.DUMMYFUNCTION("""COMPUTED_VALUE"""),1963)</f>
        <v>1963</v>
      </c>
      <c r="H127" s="38" t="str">
        <f>_xlfn.IFERROR(__xludf.DUMMYFUNCTION("""COMPUTED_VALUE"""),"MARAS team")</f>
        <v>MARAS team</v>
      </c>
      <c r="I127" s="14" t="str">
        <f t="shared" si="3"/>
        <v>C</v>
      </c>
      <c r="J127" s="12">
        <f>COUNTIF(I$5:I127,I127)</f>
        <v>18</v>
      </c>
      <c r="K127" s="50">
        <v>0.03857638888888889</v>
      </c>
    </row>
    <row r="128" spans="1:11" ht="15" customHeight="1">
      <c r="A128" s="5">
        <v>124</v>
      </c>
      <c r="B128" s="13">
        <v>59</v>
      </c>
      <c r="C128" s="45" t="str">
        <f>_xlfn.IFERROR(__xludf.DUMMYFUNCTION("""COMPUTED_VALUE"""),"PETROVIČOVÁ")</f>
        <v>PETROVIČOVÁ</v>
      </c>
      <c r="D128" s="40" t="str">
        <f>_xlfn.IFERROR(__xludf.DUMMYFUNCTION("""COMPUTED_VALUE"""),"Ingrid")</f>
        <v>Ingrid</v>
      </c>
      <c r="E128" s="7" t="s">
        <v>11</v>
      </c>
      <c r="F128" s="32" t="s">
        <v>23</v>
      </c>
      <c r="G128" s="27">
        <f>_xlfn.IFERROR(__xludf.DUMMYFUNCTION("""COMPUTED_VALUE"""),1972)</f>
        <v>1972</v>
      </c>
      <c r="H128" s="38" t="str">
        <f>_xlfn.IFERROR(__xludf.DUMMYFUNCTION("""COMPUTED_VALUE"""),"Lektvare ")</f>
        <v>Lektvare </v>
      </c>
      <c r="I128" s="14" t="str">
        <f t="shared" si="3"/>
        <v>G</v>
      </c>
      <c r="J128" s="12">
        <f>COUNTIF(I$5:I128,I128)</f>
        <v>11</v>
      </c>
      <c r="K128" s="50">
        <v>0.03868055555555556</v>
      </c>
    </row>
    <row r="129" spans="1:11" ht="15" customHeight="1">
      <c r="A129" s="10">
        <v>125</v>
      </c>
      <c r="B129" s="13">
        <v>135</v>
      </c>
      <c r="C129" s="45" t="str">
        <f>_xlfn.IFERROR(__xludf.DUMMYFUNCTION("""COMPUTED_VALUE"""),"KUCHÁR")</f>
        <v>KUCHÁR</v>
      </c>
      <c r="D129" s="40" t="str">
        <f>_xlfn.IFERROR(__xludf.DUMMYFUNCTION("""COMPUTED_VALUE"""),"Emil")</f>
        <v>Emil</v>
      </c>
      <c r="E129" s="7" t="s">
        <v>11</v>
      </c>
      <c r="F129" s="32" t="s">
        <v>3</v>
      </c>
      <c r="G129" s="27">
        <f>_xlfn.IFERROR(__xludf.DUMMYFUNCTION("""COMPUTED_VALUE"""),1951)</f>
        <v>1951</v>
      </c>
      <c r="H129" s="38" t="str">
        <f>_xlfn.IFERROR(__xludf.DUMMYFUNCTION("""COMPUTED_VALUE"""),"Active life ")</f>
        <v>Active life </v>
      </c>
      <c r="I129" s="14" t="str">
        <f t="shared" si="3"/>
        <v>D</v>
      </c>
      <c r="J129" s="12">
        <f>COUNTIF(I$5:I129,I129)</f>
        <v>10</v>
      </c>
      <c r="K129" s="50">
        <v>0.03884259259259259</v>
      </c>
    </row>
    <row r="130" spans="1:11" ht="15" customHeight="1">
      <c r="A130" s="5">
        <v>126</v>
      </c>
      <c r="B130" s="13">
        <v>95</v>
      </c>
      <c r="C130" s="46" t="str">
        <f>_xlfn.IFERROR(__xludf.DUMMYFUNCTION("""COMPUTED_VALUE"""),"SIVÁK")</f>
        <v>SIVÁK</v>
      </c>
      <c r="D130" s="41" t="str">
        <f>_xlfn.IFERROR(__xludf.DUMMYFUNCTION("""COMPUTED_VALUE"""),"Oto")</f>
        <v>Oto</v>
      </c>
      <c r="E130" s="7" t="s">
        <v>11</v>
      </c>
      <c r="F130" s="31" t="s">
        <v>3</v>
      </c>
      <c r="G130" s="26">
        <f>_xlfn.IFERROR(__xludf.DUMMYFUNCTION("""COMPUTED_VALUE"""),1986)</f>
        <v>1986</v>
      </c>
      <c r="H130" s="37" t="str">
        <f>_xlfn.IFERROR(__xludf.DUMMYFUNCTION("""COMPUTED_VALUE"""),"Prešov")</f>
        <v>Prešov</v>
      </c>
      <c r="I130" s="14" t="str">
        <f t="shared" si="3"/>
        <v>A</v>
      </c>
      <c r="J130" s="12">
        <f>COUNTIF(I$5:I130,I130)</f>
        <v>37</v>
      </c>
      <c r="K130" s="50">
        <v>0.0390625</v>
      </c>
    </row>
    <row r="131" spans="1:11" ht="15" customHeight="1">
      <c r="A131" s="10">
        <v>127</v>
      </c>
      <c r="B131" s="13">
        <v>44</v>
      </c>
      <c r="C131" s="46" t="str">
        <f>_xlfn.IFERROR(__xludf.DUMMYFUNCTION("""COMPUTED_VALUE"""),"TROJČÁKOVÁ")</f>
        <v>TROJČÁKOVÁ</v>
      </c>
      <c r="D131" s="41" t="str">
        <f>_xlfn.IFERROR(__xludf.DUMMYFUNCTION("""COMPUTED_VALUE"""),"Zuzana")</f>
        <v>Zuzana</v>
      </c>
      <c r="E131" s="7" t="s">
        <v>11</v>
      </c>
      <c r="F131" s="31" t="s">
        <v>23</v>
      </c>
      <c r="G131" s="26">
        <f>_xlfn.IFERROR(__xludf.DUMMYFUNCTION("""COMPUTED_VALUE"""),1975)</f>
        <v>1975</v>
      </c>
      <c r="H131" s="37" t="str">
        <f>_xlfn.IFERROR(__xludf.DUMMYFUNCTION("""COMPUTED_VALUE"""),"Kostoľany nad Hornádom")</f>
        <v>Kostoľany nad Hornádom</v>
      </c>
      <c r="I131" s="14" t="str">
        <f t="shared" si="3"/>
        <v>G</v>
      </c>
      <c r="J131" s="12">
        <f>COUNTIF(I$5:I131,I131)</f>
        <v>12</v>
      </c>
      <c r="K131" s="50">
        <v>0.03928240740740741</v>
      </c>
    </row>
    <row r="132" spans="1:11" ht="15" customHeight="1">
      <c r="A132" s="5">
        <v>128</v>
      </c>
      <c r="B132" s="13">
        <v>57</v>
      </c>
      <c r="C132" s="44" t="s">
        <v>67</v>
      </c>
      <c r="D132" s="42" t="s">
        <v>68</v>
      </c>
      <c r="E132" s="7" t="s">
        <v>11</v>
      </c>
      <c r="F132" s="13" t="s">
        <v>23</v>
      </c>
      <c r="G132" s="28">
        <v>1994</v>
      </c>
      <c r="H132" s="39" t="s">
        <v>26</v>
      </c>
      <c r="I132" s="14" t="str">
        <f t="shared" si="3"/>
        <v>F</v>
      </c>
      <c r="J132" s="12">
        <f>COUNTIF(I$5:I132,I132)</f>
        <v>20</v>
      </c>
      <c r="K132" s="50">
        <v>0.03982638888888889</v>
      </c>
    </row>
    <row r="133" spans="1:11" ht="15" customHeight="1">
      <c r="A133" s="10">
        <v>129</v>
      </c>
      <c r="B133" s="13">
        <v>37</v>
      </c>
      <c r="C133" s="46" t="str">
        <f>_xlfn.IFERROR(__xludf.DUMMYFUNCTION("""COMPUTED_VALUE"""),"KASPAROVA")</f>
        <v>KASPAROVA</v>
      </c>
      <c r="D133" s="41" t="str">
        <f>_xlfn.IFERROR(__xludf.DUMMYFUNCTION("""COMPUTED_VALUE"""),"Katarina")</f>
        <v>Katarina</v>
      </c>
      <c r="E133" s="7" t="s">
        <v>11</v>
      </c>
      <c r="F133" s="31" t="s">
        <v>23</v>
      </c>
      <c r="G133" s="26">
        <f>_xlfn.IFERROR(__xludf.DUMMYFUNCTION("""COMPUTED_VALUE"""),1988)</f>
        <v>1988</v>
      </c>
      <c r="H133" s="37" t="str">
        <f>_xlfn.IFERROR(__xludf.DUMMYFUNCTION("""COMPUTED_VALUE"""),"Prešov")</f>
        <v>Prešov</v>
      </c>
      <c r="I133" s="14" t="str">
        <f aca="true" t="shared" si="4" ref="I133:I142">IF(F133="m",IF($G$1-$G133&lt;=17,"JM",IF($G$1-$G133&lt;=39,"A",IF($G$1-$G133&lt;=49,"B",IF($G$1-$G133&lt;=59,"C",IF($G$1-$G133&lt;=69,"D","E"))))),IF($G$1-$G133&lt;=17,"JŽ",IF($G$1-$G133&lt;=39,"F",IF($G$1-$G133&lt;=49,"G",IF($G$1-$G133&lt;=59,"H","I")))))</f>
        <v>F</v>
      </c>
      <c r="J133" s="12">
        <f>COUNTIF(I$5:I133,I133)</f>
        <v>21</v>
      </c>
      <c r="K133" s="50">
        <v>0.04023148148148148</v>
      </c>
    </row>
    <row r="134" spans="1:11" ht="15" customHeight="1">
      <c r="A134" s="5">
        <v>130</v>
      </c>
      <c r="B134" s="13">
        <v>89</v>
      </c>
      <c r="C134" s="44" t="s">
        <v>21</v>
      </c>
      <c r="D134" s="42" t="s">
        <v>88</v>
      </c>
      <c r="E134" s="7" t="s">
        <v>11</v>
      </c>
      <c r="F134" s="13" t="s">
        <v>3</v>
      </c>
      <c r="G134" s="28">
        <v>1955</v>
      </c>
      <c r="H134" s="39" t="s">
        <v>36</v>
      </c>
      <c r="I134" s="14" t="str">
        <f t="shared" si="4"/>
        <v>D</v>
      </c>
      <c r="J134" s="12">
        <f>COUNTIF(I$5:I134,I134)</f>
        <v>11</v>
      </c>
      <c r="K134" s="50">
        <v>0.04037037037037037</v>
      </c>
    </row>
    <row r="135" spans="1:11" s="127" customFormat="1" ht="15" customHeight="1">
      <c r="A135" s="116">
        <v>131</v>
      </c>
      <c r="B135" s="117">
        <v>104</v>
      </c>
      <c r="C135" s="118" t="str">
        <f>_xlfn.IFERROR(__xludf.DUMMYFUNCTION("""COMPUTED_VALUE"""),"HRICOVÁ")</f>
        <v>HRICOVÁ</v>
      </c>
      <c r="D135" s="119" t="str">
        <f>_xlfn.IFERROR(__xludf.DUMMYFUNCTION("""COMPUTED_VALUE"""),"Kristína")</f>
        <v>Kristína</v>
      </c>
      <c r="E135" s="120" t="s">
        <v>11</v>
      </c>
      <c r="F135" s="121" t="s">
        <v>23</v>
      </c>
      <c r="G135" s="122">
        <f>_xlfn.IFERROR(__xludf.DUMMYFUNCTION("""COMPUTED_VALUE"""),2003)</f>
        <v>2003</v>
      </c>
      <c r="H135" s="123" t="str">
        <f>_xlfn.IFERROR(__xludf.DUMMYFUNCTION("""COMPUTED_VALUE"""),"MARAS team")</f>
        <v>MARAS team</v>
      </c>
      <c r="I135" s="124" t="str">
        <f t="shared" si="4"/>
        <v>JŽ</v>
      </c>
      <c r="J135" s="125">
        <f>COUNTIF(I$5:I135,I135)</f>
        <v>3</v>
      </c>
      <c r="K135" s="126">
        <v>0.04100694444444444</v>
      </c>
    </row>
    <row r="136" spans="1:11" s="127" customFormat="1" ht="15" customHeight="1">
      <c r="A136" s="133">
        <v>132</v>
      </c>
      <c r="B136" s="117">
        <v>91</v>
      </c>
      <c r="C136" s="134" t="s">
        <v>90</v>
      </c>
      <c r="D136" s="135" t="s">
        <v>91</v>
      </c>
      <c r="E136" s="120" t="s">
        <v>11</v>
      </c>
      <c r="F136" s="117" t="s">
        <v>23</v>
      </c>
      <c r="G136" s="136">
        <v>1950</v>
      </c>
      <c r="H136" s="137" t="s">
        <v>26</v>
      </c>
      <c r="I136" s="124" t="str">
        <f t="shared" si="4"/>
        <v>I</v>
      </c>
      <c r="J136" s="125">
        <f>COUNTIF(I$5:I136,I136)</f>
        <v>3</v>
      </c>
      <c r="K136" s="126">
        <v>0.04133101851851852</v>
      </c>
    </row>
    <row r="137" spans="1:11" ht="15" customHeight="1">
      <c r="A137" s="10">
        <v>133</v>
      </c>
      <c r="B137" s="13">
        <v>97</v>
      </c>
      <c r="C137" s="45" t="str">
        <f>_xlfn.IFERROR(__xludf.DUMMYFUNCTION("""COMPUTED_VALUE"""),"TOMÁŠOVA")</f>
        <v>TOMÁŠOVA</v>
      </c>
      <c r="D137" s="40" t="str">
        <f>_xlfn.IFERROR(__xludf.DUMMYFUNCTION("""COMPUTED_VALUE"""),"Hedviga")</f>
        <v>Hedviga</v>
      </c>
      <c r="E137" s="7" t="s">
        <v>11</v>
      </c>
      <c r="F137" s="32" t="s">
        <v>23</v>
      </c>
      <c r="G137" s="27">
        <f>_xlfn.IFERROR(__xludf.DUMMYFUNCTION("""COMPUTED_VALUE"""),1973)</f>
        <v>1973</v>
      </c>
      <c r="H137" s="38" t="str">
        <f>_xlfn.IFERROR(__xludf.DUMMYFUNCTION("""COMPUTED_VALUE"""),"3MR sport")</f>
        <v>3MR sport</v>
      </c>
      <c r="I137" s="14" t="str">
        <f t="shared" si="4"/>
        <v>G</v>
      </c>
      <c r="J137" s="12">
        <f>COUNTIF(I$5:I137,I137)</f>
        <v>13</v>
      </c>
      <c r="K137" s="50">
        <v>0.0430787037037037</v>
      </c>
    </row>
    <row r="138" spans="1:11" ht="15" customHeight="1">
      <c r="A138" s="5">
        <v>134</v>
      </c>
      <c r="B138" s="13">
        <v>81</v>
      </c>
      <c r="C138" s="46" t="str">
        <f>_xlfn.IFERROR(__xludf.DUMMYFUNCTION("""COMPUTED_VALUE"""),"ULIČNÁ")</f>
        <v>ULIČNÁ</v>
      </c>
      <c r="D138" s="41" t="str">
        <f>_xlfn.IFERROR(__xludf.DUMMYFUNCTION("""COMPUTED_VALUE"""),"Veronika")</f>
        <v>Veronika</v>
      </c>
      <c r="E138" s="7" t="s">
        <v>11</v>
      </c>
      <c r="F138" s="31" t="s">
        <v>23</v>
      </c>
      <c r="G138" s="26" t="s">
        <v>83</v>
      </c>
      <c r="H138" s="37" t="str">
        <f>_xlfn.IFERROR(__xludf.DUMMYFUNCTION("""COMPUTED_VALUE"""),"MARAS team")</f>
        <v>MARAS team</v>
      </c>
      <c r="I138" s="14" t="str">
        <f t="shared" si="4"/>
        <v>JŽ</v>
      </c>
      <c r="J138" s="12">
        <f>COUNTIF(I$5:I138,I138)</f>
        <v>4</v>
      </c>
      <c r="K138" s="50">
        <v>0.043715277777777777</v>
      </c>
    </row>
    <row r="139" spans="1:11" ht="15" customHeight="1">
      <c r="A139" s="10">
        <v>135</v>
      </c>
      <c r="B139" s="13">
        <v>79</v>
      </c>
      <c r="C139" s="45" t="str">
        <f>_xlfn.IFERROR(__xludf.DUMMYFUNCTION("""COMPUTED_VALUE"""),"ULIČNÝ")</f>
        <v>ULIČNÝ</v>
      </c>
      <c r="D139" s="40" t="str">
        <f>_xlfn.IFERROR(__xludf.DUMMYFUNCTION("""COMPUTED_VALUE"""),"Pavol")</f>
        <v>Pavol</v>
      </c>
      <c r="E139" s="7" t="s">
        <v>11</v>
      </c>
      <c r="F139" s="32" t="s">
        <v>3</v>
      </c>
      <c r="G139" s="27">
        <f>_xlfn.IFERROR(__xludf.DUMMYFUNCTION("""COMPUTED_VALUE"""),1976)</f>
        <v>1976</v>
      </c>
      <c r="H139" s="38" t="str">
        <f>_xlfn.IFERROR(__xludf.DUMMYFUNCTION("""COMPUTED_VALUE"""),"MARAS team")</f>
        <v>MARAS team</v>
      </c>
      <c r="I139" s="14" t="str">
        <f t="shared" si="4"/>
        <v>B</v>
      </c>
      <c r="J139" s="12">
        <f>COUNTIF(I$5:I139,I139)</f>
        <v>16</v>
      </c>
      <c r="K139" s="50">
        <v>0.043750000000000004</v>
      </c>
    </row>
    <row r="140" spans="1:11" ht="15" customHeight="1">
      <c r="A140" s="5">
        <v>136</v>
      </c>
      <c r="B140" s="13">
        <v>118</v>
      </c>
      <c r="C140" s="45" t="str">
        <f>_xlfn.IFERROR(__xludf.DUMMYFUNCTION("""COMPUTED_VALUE"""),"ŠIMKO")</f>
        <v>ŠIMKO</v>
      </c>
      <c r="D140" s="40" t="str">
        <f>_xlfn.IFERROR(__xludf.DUMMYFUNCTION("""COMPUTED_VALUE"""),"Radoslav")</f>
        <v>Radoslav</v>
      </c>
      <c r="E140" s="7" t="s">
        <v>11</v>
      </c>
      <c r="F140" s="32" t="s">
        <v>3</v>
      </c>
      <c r="G140" s="27">
        <f>_xlfn.IFERROR(__xludf.DUMMYFUNCTION("""COMPUTED_VALUE"""),1983)</f>
        <v>1983</v>
      </c>
      <c r="H140" s="38" t="str">
        <f>_xlfn.IFERROR(__xludf.DUMMYFUNCTION("""COMPUTED_VALUE"""),"MARAS team")</f>
        <v>MARAS team</v>
      </c>
      <c r="I140" s="14" t="str">
        <f t="shared" si="4"/>
        <v>A</v>
      </c>
      <c r="J140" s="12">
        <f>COUNTIF(I$5:I140,I140)</f>
        <v>38</v>
      </c>
      <c r="K140" s="50">
        <v>0.046134259259259264</v>
      </c>
    </row>
    <row r="141" spans="1:11" ht="15" customHeight="1">
      <c r="A141" s="10">
        <v>137</v>
      </c>
      <c r="B141" s="13">
        <v>34</v>
      </c>
      <c r="C141" s="45" t="str">
        <f>_xlfn.IFERROR(__xludf.DUMMYFUNCTION("""COMPUTED_VALUE"""),"KASSAY")</f>
        <v>KASSAY</v>
      </c>
      <c r="D141" s="40" t="str">
        <f>_xlfn.IFERROR(__xludf.DUMMYFUNCTION("""COMPUTED_VALUE"""),"Vojtech")</f>
        <v>Vojtech</v>
      </c>
      <c r="E141" s="7" t="s">
        <v>11</v>
      </c>
      <c r="F141" s="32" t="s">
        <v>3</v>
      </c>
      <c r="G141" s="27">
        <f>_xlfn.IFERROR(__xludf.DUMMYFUNCTION("""COMPUTED_VALUE"""),1946)</f>
        <v>1946</v>
      </c>
      <c r="H141" s="38" t="str">
        <f>_xlfn.IFERROR(__xludf.DUMMYFUNCTION("""COMPUTED_VALUE"""),"MARAS team")</f>
        <v>MARAS team</v>
      </c>
      <c r="I141" s="14" t="str">
        <f t="shared" si="4"/>
        <v>E</v>
      </c>
      <c r="J141" s="12">
        <f>COUNTIF(I$5:I141,I141)</f>
        <v>5</v>
      </c>
      <c r="K141" s="50">
        <v>0.04877314814814815</v>
      </c>
    </row>
    <row r="142" spans="1:11" ht="15" customHeight="1">
      <c r="A142" s="5">
        <v>138</v>
      </c>
      <c r="B142" s="13">
        <v>136</v>
      </c>
      <c r="C142" s="46" t="str">
        <f>_xlfn.IFERROR(__xludf.DUMMYFUNCTION("""COMPUTED_VALUE"""),"BENKO")</f>
        <v>BENKO</v>
      </c>
      <c r="D142" s="41" t="str">
        <f>_xlfn.IFERROR(__xludf.DUMMYFUNCTION("""COMPUTED_VALUE"""),"Ján")</f>
        <v>Ján</v>
      </c>
      <c r="E142" s="7" t="s">
        <v>11</v>
      </c>
      <c r="F142" s="31" t="s">
        <v>3</v>
      </c>
      <c r="G142" s="26">
        <f>_xlfn.IFERROR(__xludf.DUMMYFUNCTION("""COMPUTED_VALUE"""),1980)</f>
        <v>1980</v>
      </c>
      <c r="H142" s="37" t="str">
        <f>_xlfn.IFERROR(__xludf.DUMMYFUNCTION("""COMPUTED_VALUE"""),"Prešov")</f>
        <v>Prešov</v>
      </c>
      <c r="I142" s="14" t="str">
        <f t="shared" si="4"/>
        <v>B</v>
      </c>
      <c r="J142" s="12">
        <f>COUNTIF(I$5:I142,I142)</f>
        <v>17</v>
      </c>
      <c r="K142" s="50" t="s">
        <v>122</v>
      </c>
    </row>
    <row r="144" spans="1:11" ht="11.25">
      <c r="A144" s="171" t="s">
        <v>14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</row>
    <row r="145" spans="1:11" ht="11.25">
      <c r="A145" s="171" t="s">
        <v>13</v>
      </c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</row>
    <row r="148" spans="1:11" ht="11.2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</row>
    <row r="149" spans="1:11" ht="11.2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</row>
  </sheetData>
  <sheetProtection/>
  <mergeCells count="5">
    <mergeCell ref="A2:K2"/>
    <mergeCell ref="A148:K148"/>
    <mergeCell ref="A149:K149"/>
    <mergeCell ref="A144:K144"/>
    <mergeCell ref="A145:K145"/>
  </mergeCells>
  <conditionalFormatting sqref="C5:D142 G5:H142">
    <cfRule type="expression" priority="5" dxfId="0">
      <formula>$G5=1</formula>
    </cfRule>
  </conditionalFormatting>
  <conditionalFormatting sqref="F5:F142">
    <cfRule type="expression" priority="1" dxfId="0">
      <formula>$H5=1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3">
      <selection activeCell="O67" sqref="O67"/>
    </sheetView>
  </sheetViews>
  <sheetFormatPr defaultColWidth="9.140625" defaultRowHeight="12.75"/>
  <cols>
    <col min="1" max="1" width="3.8515625" style="2" customWidth="1"/>
    <col min="2" max="2" width="4.28125" style="9" customWidth="1"/>
    <col min="3" max="3" width="17.7109375" style="9" customWidth="1"/>
    <col min="4" max="4" width="10.8515625" style="4" customWidth="1"/>
    <col min="5" max="5" width="5.28125" style="4" customWidth="1"/>
    <col min="6" max="6" width="4.00390625" style="9" customWidth="1"/>
    <col min="7" max="7" width="5.421875" style="29" customWidth="1"/>
    <col min="8" max="8" width="23.7109375" style="4" customWidth="1"/>
    <col min="9" max="9" width="3.8515625" style="16" customWidth="1"/>
    <col min="10" max="10" width="3.57421875" style="16" customWidth="1"/>
    <col min="11" max="11" width="9.00390625" style="23" customWidth="1"/>
    <col min="12" max="16384" width="9.140625" style="4" customWidth="1"/>
  </cols>
  <sheetData>
    <row r="1" spans="1:11" s="3" customFormat="1" ht="6.75" customHeight="1" hidden="1">
      <c r="A1" s="1"/>
      <c r="B1" s="8"/>
      <c r="C1" s="8"/>
      <c r="F1" s="8" t="s">
        <v>5</v>
      </c>
      <c r="G1" s="25">
        <v>2020</v>
      </c>
      <c r="I1" s="15"/>
      <c r="J1" s="15"/>
      <c r="K1" s="22"/>
    </row>
    <row r="2" spans="1:11" s="17" customFormat="1" ht="30" customHeight="1">
      <c r="A2" s="170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57" customFormat="1" ht="19.5" customHeight="1">
      <c r="A3" s="51"/>
      <c r="B3" s="52"/>
      <c r="C3" s="53" t="s">
        <v>18</v>
      </c>
      <c r="D3" s="54"/>
      <c r="E3" s="55"/>
      <c r="F3" s="52"/>
      <c r="G3" s="48"/>
      <c r="H3" s="54"/>
      <c r="I3" s="56"/>
      <c r="J3" s="56"/>
      <c r="K3" s="48"/>
    </row>
    <row r="4" spans="1:11" s="57" customFormat="1" ht="19.5" customHeight="1">
      <c r="A4" s="169" t="s">
        <v>100</v>
      </c>
      <c r="B4" s="52"/>
      <c r="C4" s="53"/>
      <c r="D4" s="54"/>
      <c r="E4" s="55"/>
      <c r="F4" s="52"/>
      <c r="G4" s="48"/>
      <c r="H4" s="54"/>
      <c r="I4" s="56"/>
      <c r="J4" s="56"/>
      <c r="K4" s="48"/>
    </row>
    <row r="5" spans="1:11" s="64" customFormat="1" ht="35.25" customHeight="1">
      <c r="A5" s="58" t="s">
        <v>16</v>
      </c>
      <c r="B5" s="59" t="s">
        <v>15</v>
      </c>
      <c r="C5" s="59" t="s">
        <v>9</v>
      </c>
      <c r="D5" s="33" t="s">
        <v>0</v>
      </c>
      <c r="E5" s="33" t="s">
        <v>10</v>
      </c>
      <c r="F5" s="60" t="s">
        <v>4</v>
      </c>
      <c r="G5" s="61" t="s">
        <v>8</v>
      </c>
      <c r="H5" s="33" t="s">
        <v>1</v>
      </c>
      <c r="I5" s="62" t="s">
        <v>6</v>
      </c>
      <c r="J5" s="63" t="s">
        <v>7</v>
      </c>
      <c r="K5" s="49" t="s">
        <v>2</v>
      </c>
    </row>
    <row r="6" spans="1:11" s="74" customFormat="1" ht="15" customHeight="1">
      <c r="A6" s="65">
        <v>1</v>
      </c>
      <c r="B6" s="66">
        <v>87</v>
      </c>
      <c r="C6" s="67" t="s">
        <v>85</v>
      </c>
      <c r="D6" s="68" t="s">
        <v>86</v>
      </c>
      <c r="E6" s="69" t="s">
        <v>11</v>
      </c>
      <c r="F6" s="66" t="s">
        <v>3</v>
      </c>
      <c r="G6" s="70">
        <v>1989</v>
      </c>
      <c r="H6" s="71" t="s">
        <v>87</v>
      </c>
      <c r="I6" s="72" t="str">
        <f aca="true" t="shared" si="0" ref="I6:I43">IF(F6="m",IF($G$1-$G6&lt;=17,"JM",IF($G$1-$G6&lt;=39,"A",IF($G$1-$G6&lt;=49,"B",IF($G$1-$G6&lt;=59,"C",IF($G$1-$G6&lt;=69,"D","E"))))),IF($G$1-$G6&lt;=17,"JŽ",IF($G$1-$G6&lt;=39,"F",IF($G$1-$G6&lt;=49,"G",IF($G$1-$G6&lt;=59,"H","I")))))</f>
        <v>A</v>
      </c>
      <c r="J6" s="72">
        <f>COUNTIF(I$6:I6,I6)</f>
        <v>1</v>
      </c>
      <c r="K6" s="73">
        <v>0.021030092592592597</v>
      </c>
    </row>
    <row r="7" spans="1:11" s="104" customFormat="1" ht="15" customHeight="1">
      <c r="A7" s="94">
        <v>2</v>
      </c>
      <c r="B7" s="95">
        <v>56</v>
      </c>
      <c r="C7" s="96" t="s">
        <v>65</v>
      </c>
      <c r="D7" s="97" t="s">
        <v>66</v>
      </c>
      <c r="E7" s="98" t="s">
        <v>11</v>
      </c>
      <c r="F7" s="95" t="s">
        <v>3</v>
      </c>
      <c r="G7" s="99">
        <v>1993</v>
      </c>
      <c r="H7" s="100" t="s">
        <v>36</v>
      </c>
      <c r="I7" s="101" t="str">
        <f t="shared" si="0"/>
        <v>A</v>
      </c>
      <c r="J7" s="102">
        <f>COUNTIF(I$6:I7,I7)</f>
        <v>2</v>
      </c>
      <c r="K7" s="103">
        <v>0.022754629629629628</v>
      </c>
    </row>
    <row r="8" spans="1:11" s="127" customFormat="1" ht="15" customHeight="1">
      <c r="A8" s="116">
        <v>3</v>
      </c>
      <c r="B8" s="117">
        <v>69</v>
      </c>
      <c r="C8" s="118" t="str">
        <f>_xlfn.IFERROR(__xludf.DUMMYFUNCTION("""COMPUTED_VALUE"""),"KORMANÍK")</f>
        <v>KORMANÍK</v>
      </c>
      <c r="D8" s="119" t="str">
        <f>_xlfn.IFERROR(__xludf.DUMMYFUNCTION("""COMPUTED_VALUE"""),"Martin")</f>
        <v>Martin</v>
      </c>
      <c r="E8" s="120" t="s">
        <v>11</v>
      </c>
      <c r="F8" s="121" t="s">
        <v>3</v>
      </c>
      <c r="G8" s="122">
        <f>_xlfn.IFERROR(__xludf.DUMMYFUNCTION("""COMPUTED_VALUE"""),1989)</f>
        <v>1989</v>
      </c>
      <c r="H8" s="123" t="str">
        <f>_xlfn.IFERROR(__xludf.DUMMYFUNCTION("""COMPUTED_VALUE"""),"MTC Vyšná Šebastová")</f>
        <v>MTC Vyšná Šebastová</v>
      </c>
      <c r="I8" s="124" t="str">
        <f t="shared" si="0"/>
        <v>A</v>
      </c>
      <c r="J8" s="125">
        <f>COUNTIF(I$6:I8,I8)</f>
        <v>3</v>
      </c>
      <c r="K8" s="126">
        <v>0.023171296296296297</v>
      </c>
    </row>
    <row r="9" spans="1:11" ht="15" customHeight="1">
      <c r="A9" s="5">
        <v>4</v>
      </c>
      <c r="B9" s="13">
        <v>30</v>
      </c>
      <c r="C9" s="47" t="s">
        <v>57</v>
      </c>
      <c r="D9" s="6" t="s">
        <v>58</v>
      </c>
      <c r="E9" s="7" t="s">
        <v>11</v>
      </c>
      <c r="F9" s="13" t="s">
        <v>3</v>
      </c>
      <c r="G9" s="28">
        <v>1985</v>
      </c>
      <c r="H9" s="43" t="s">
        <v>59</v>
      </c>
      <c r="I9" s="14" t="str">
        <f t="shared" si="0"/>
        <v>A</v>
      </c>
      <c r="J9" s="12">
        <f>COUNTIF(I$6:I9,I9)</f>
        <v>4</v>
      </c>
      <c r="K9" s="50">
        <v>0.025023148148148145</v>
      </c>
    </row>
    <row r="10" spans="1:11" ht="15" customHeight="1">
      <c r="A10" s="10">
        <v>5</v>
      </c>
      <c r="B10" s="13">
        <v>52</v>
      </c>
      <c r="C10" s="46" t="str">
        <f>_xlfn.IFERROR(__xludf.DUMMYFUNCTION("""COMPUTED_VALUE"""),"FEDOR")</f>
        <v>FEDOR</v>
      </c>
      <c r="D10" s="41" t="str">
        <f>_xlfn.IFERROR(__xludf.DUMMYFUNCTION("""COMPUTED_VALUE"""),"Matúš")</f>
        <v>Matúš</v>
      </c>
      <c r="E10" s="7" t="s">
        <v>11</v>
      </c>
      <c r="F10" s="31" t="s">
        <v>3</v>
      </c>
      <c r="G10" s="26">
        <f>_xlfn.IFERROR(__xludf.DUMMYFUNCTION("""COMPUTED_VALUE"""),1988)</f>
        <v>1988</v>
      </c>
      <c r="H10" s="37" t="str">
        <f>_xlfn.IFERROR(__xludf.DUMMYFUNCTION("""COMPUTED_VALUE"""),"Prešov")</f>
        <v>Prešov</v>
      </c>
      <c r="I10" s="14" t="str">
        <f t="shared" si="0"/>
        <v>A</v>
      </c>
      <c r="J10" s="12">
        <f>COUNTIF(I$6:I10,I10)</f>
        <v>5</v>
      </c>
      <c r="K10" s="50">
        <v>0.025023148148148145</v>
      </c>
    </row>
    <row r="11" spans="1:11" ht="15" customHeight="1">
      <c r="A11" s="5">
        <v>6</v>
      </c>
      <c r="B11" s="13">
        <v>132</v>
      </c>
      <c r="C11" s="45" t="str">
        <f>_xlfn.IFERROR(__xludf.DUMMYFUNCTION("""COMPUTED_VALUE"""),"OLEARNÍK")</f>
        <v>OLEARNÍK</v>
      </c>
      <c r="D11" s="40" t="str">
        <f>_xlfn.IFERROR(__xludf.DUMMYFUNCTION("""COMPUTED_VALUE"""),"Ľubomír")</f>
        <v>Ľubomír</v>
      </c>
      <c r="E11" s="7" t="s">
        <v>11</v>
      </c>
      <c r="F11" s="32" t="s">
        <v>3</v>
      </c>
      <c r="G11" s="27">
        <f>_xlfn.IFERROR(__xludf.DUMMYFUNCTION("""COMPUTED_VALUE"""),1982)</f>
        <v>1982</v>
      </c>
      <c r="H11" s="38" t="str">
        <f>_xlfn.IFERROR(__xludf.DUMMYFUNCTION("""COMPUTED_VALUE"""),"noviny GOLDEN")</f>
        <v>noviny GOLDEN</v>
      </c>
      <c r="I11" s="14" t="str">
        <f t="shared" si="0"/>
        <v>A</v>
      </c>
      <c r="J11" s="12">
        <f>COUNTIF(I$6:I11,I11)</f>
        <v>6</v>
      </c>
      <c r="K11" s="50">
        <v>0.025023148148148145</v>
      </c>
    </row>
    <row r="12" spans="1:12" ht="15" customHeight="1">
      <c r="A12" s="10">
        <v>7</v>
      </c>
      <c r="B12" s="13">
        <v>114</v>
      </c>
      <c r="C12" s="46" t="str">
        <f>_xlfn.IFERROR(__xludf.DUMMYFUNCTION("""COMPUTED_VALUE"""),"PLATKO")</f>
        <v>PLATKO</v>
      </c>
      <c r="D12" s="41" t="str">
        <f>_xlfn.IFERROR(__xludf.DUMMYFUNCTION("""COMPUTED_VALUE"""),"Matej")</f>
        <v>Matej</v>
      </c>
      <c r="E12" s="7" t="s">
        <v>11</v>
      </c>
      <c r="F12" s="31" t="s">
        <v>3</v>
      </c>
      <c r="G12" s="26">
        <f>_xlfn.IFERROR(__xludf.DUMMYFUNCTION("""COMPUTED_VALUE"""),1996)</f>
        <v>1996</v>
      </c>
      <c r="H12" s="37" t="str">
        <f>_xlfn.IFERROR(__xludf.DUMMYFUNCTION("""COMPUTED_VALUE"""),"TJ Sokol Ľubotice")</f>
        <v>TJ Sokol Ľubotice</v>
      </c>
      <c r="I12" s="14" t="str">
        <f t="shared" si="0"/>
        <v>A</v>
      </c>
      <c r="J12" s="12">
        <f>COUNTIF(I$6:I12,I12)</f>
        <v>7</v>
      </c>
      <c r="K12" s="50">
        <v>0.02508101851851852</v>
      </c>
      <c r="L12" s="4" t="s">
        <v>33</v>
      </c>
    </row>
    <row r="13" spans="1:11" ht="15" customHeight="1">
      <c r="A13" s="5">
        <v>8</v>
      </c>
      <c r="B13" s="13">
        <v>110</v>
      </c>
      <c r="C13" s="46" t="str">
        <f>_xlfn.IFERROR(__xludf.DUMMYFUNCTION("""COMPUTED_VALUE"""),"STAVAČ")</f>
        <v>STAVAČ</v>
      </c>
      <c r="D13" s="41" t="str">
        <f>_xlfn.IFERROR(__xludf.DUMMYFUNCTION("""COMPUTED_VALUE"""),"Róbert")</f>
        <v>Róbert</v>
      </c>
      <c r="E13" s="7" t="s">
        <v>11</v>
      </c>
      <c r="F13" s="31" t="s">
        <v>3</v>
      </c>
      <c r="G13" s="26">
        <f>_xlfn.IFERROR(__xludf.DUMMYFUNCTION("""COMPUTED_VALUE"""),1986)</f>
        <v>1986</v>
      </c>
      <c r="H13" s="37" t="str">
        <f>_xlfn.IFERROR(__xludf.DUMMYFUNCTION("""COMPUTED_VALUE"""),"Hi G Run")</f>
        <v>Hi G Run</v>
      </c>
      <c r="I13" s="14" t="str">
        <f t="shared" si="0"/>
        <v>A</v>
      </c>
      <c r="J13" s="12">
        <f>COUNTIF(I$6:I13,I13)</f>
        <v>8</v>
      </c>
      <c r="K13" s="50">
        <v>0.02517361111111111</v>
      </c>
    </row>
    <row r="14" spans="1:11" ht="15" customHeight="1">
      <c r="A14" s="10">
        <v>9</v>
      </c>
      <c r="B14" s="13">
        <v>131</v>
      </c>
      <c r="C14" s="46" t="str">
        <f>_xlfn.IFERROR(__xludf.DUMMYFUNCTION("""COMPUTED_VALUE"""),"ĎURÍČEK")</f>
        <v>ĎURÍČEK</v>
      </c>
      <c r="D14" s="41" t="str">
        <f>_xlfn.IFERROR(__xludf.DUMMYFUNCTION("""COMPUTED_VALUE"""),"Martin")</f>
        <v>Martin</v>
      </c>
      <c r="E14" s="7" t="s">
        <v>11</v>
      </c>
      <c r="F14" s="31" t="s">
        <v>3</v>
      </c>
      <c r="G14" s="26">
        <f>_xlfn.IFERROR(__xludf.DUMMYFUNCTION("""COMPUTED_VALUE"""),1986)</f>
        <v>1986</v>
      </c>
      <c r="H14" s="37" t="str">
        <f>_xlfn.IFERROR(__xludf.DUMMYFUNCTION("""COMPUTED_VALUE"""),"Gemerská Poloma")</f>
        <v>Gemerská Poloma</v>
      </c>
      <c r="I14" s="14" t="str">
        <f t="shared" si="0"/>
        <v>A</v>
      </c>
      <c r="J14" s="12">
        <f>COUNTIF(I$6:I14,I14)</f>
        <v>9</v>
      </c>
      <c r="K14" s="50">
        <v>0.025451388888888888</v>
      </c>
    </row>
    <row r="15" spans="1:11" ht="15" customHeight="1">
      <c r="A15" s="5">
        <v>10</v>
      </c>
      <c r="B15" s="13">
        <v>15</v>
      </c>
      <c r="C15" s="45" t="str">
        <f>_xlfn.IFERROR(__xludf.DUMMYFUNCTION("""COMPUTED_VALUE"""),"KUNDRAČIK")</f>
        <v>KUNDRAČIK</v>
      </c>
      <c r="D15" s="40" t="str">
        <f>_xlfn.IFERROR(__xludf.DUMMYFUNCTION("""COMPUTED_VALUE"""),"Miroslav")</f>
        <v>Miroslav</v>
      </c>
      <c r="E15" s="7" t="s">
        <v>11</v>
      </c>
      <c r="F15" s="32" t="s">
        <v>3</v>
      </c>
      <c r="G15" s="27">
        <f>_xlfn.IFERROR(__xludf.DUMMYFUNCTION("""COMPUTED_VALUE"""),1985)</f>
        <v>1985</v>
      </c>
      <c r="H15" s="38" t="str">
        <f>_xlfn.IFERROR(__xludf.DUMMYFUNCTION("""COMPUTED_VALUE"""),"MARAS team")</f>
        <v>MARAS team</v>
      </c>
      <c r="I15" s="14" t="str">
        <f t="shared" si="0"/>
        <v>A</v>
      </c>
      <c r="J15" s="12">
        <f>COUNTIF(I$6:I15,I15)</f>
        <v>10</v>
      </c>
      <c r="K15" s="50">
        <v>0.025567129629629634</v>
      </c>
    </row>
    <row r="16" spans="1:11" ht="15" customHeight="1">
      <c r="A16" s="10">
        <v>11</v>
      </c>
      <c r="B16" s="13">
        <v>47</v>
      </c>
      <c r="C16" s="45" t="str">
        <f>_xlfn.IFERROR(__xludf.DUMMYFUNCTION("""COMPUTED_VALUE"""),"ŠTOBER")</f>
        <v>ŠTOBER</v>
      </c>
      <c r="D16" s="40" t="str">
        <f>_xlfn.IFERROR(__xludf.DUMMYFUNCTION("""COMPUTED_VALUE"""),"Peter")</f>
        <v>Peter</v>
      </c>
      <c r="E16" s="7" t="s">
        <v>11</v>
      </c>
      <c r="F16" s="32" t="s">
        <v>3</v>
      </c>
      <c r="G16" s="27">
        <f>_xlfn.IFERROR(__xludf.DUMMYFUNCTION("""COMPUTED_VALUE"""),1988)</f>
        <v>1988</v>
      </c>
      <c r="H16" s="38" t="str">
        <f>_xlfn.IFERROR(__xludf.DUMMYFUNCTION("""COMPUTED_VALUE"""),"Rimavská Sobota")</f>
        <v>Rimavská Sobota</v>
      </c>
      <c r="I16" s="14" t="str">
        <f t="shared" si="0"/>
        <v>A</v>
      </c>
      <c r="J16" s="12">
        <f>COUNTIF(I$6:I16,I16)</f>
        <v>11</v>
      </c>
      <c r="K16" s="50">
        <v>0.02578703703703704</v>
      </c>
    </row>
    <row r="17" spans="1:11" ht="15" customHeight="1">
      <c r="A17" s="5">
        <v>12</v>
      </c>
      <c r="B17" s="13">
        <v>5</v>
      </c>
      <c r="C17" s="46" t="str">
        <f>_xlfn.IFERROR(__xludf.DUMMYFUNCTION("""COMPUTED_VALUE"""),"KULCSÁR")</f>
        <v>KULCSÁR</v>
      </c>
      <c r="D17" s="41" t="str">
        <f>_xlfn.IFERROR(__xludf.DUMMYFUNCTION("""COMPUTED_VALUE"""),"Štefan")</f>
        <v>Štefan</v>
      </c>
      <c r="E17" s="7" t="s">
        <v>11</v>
      </c>
      <c r="F17" s="31" t="s">
        <v>3</v>
      </c>
      <c r="G17" s="26">
        <f>_xlfn.IFERROR(__xludf.DUMMYFUNCTION("""COMPUTED_VALUE"""),1982)</f>
        <v>1982</v>
      </c>
      <c r="H17" s="37" t="str">
        <f>_xlfn.IFERROR(__xludf.DUMMYFUNCTION("""COMPUTED_VALUE"""),"STG Prešov")</f>
        <v>STG Prešov</v>
      </c>
      <c r="I17" s="14" t="str">
        <f t="shared" si="0"/>
        <v>A</v>
      </c>
      <c r="J17" s="12">
        <f>COUNTIF(I$6:I17,I17)</f>
        <v>12</v>
      </c>
      <c r="K17" s="50">
        <v>0.026238425925925925</v>
      </c>
    </row>
    <row r="18" spans="1:11" ht="15" customHeight="1">
      <c r="A18" s="10">
        <v>13</v>
      </c>
      <c r="B18" s="13">
        <v>128</v>
      </c>
      <c r="C18" s="45" t="str">
        <f>_xlfn.IFERROR(__xludf.DUMMYFUNCTION("""COMPUTED_VALUE"""),"GABRI")</f>
        <v>GABRI</v>
      </c>
      <c r="D18" s="40" t="str">
        <f>_xlfn.IFERROR(__xludf.DUMMYFUNCTION("""COMPUTED_VALUE"""),"Lóránt")</f>
        <v>Lóránt</v>
      </c>
      <c r="E18" s="7" t="s">
        <v>11</v>
      </c>
      <c r="F18" s="32" t="s">
        <v>3</v>
      </c>
      <c r="G18" s="27">
        <f>_xlfn.IFERROR(__xludf.DUMMYFUNCTION("""COMPUTED_VALUE"""),1988)</f>
        <v>1988</v>
      </c>
      <c r="H18" s="38" t="str">
        <f>_xlfn.IFERROR(__xludf.DUMMYFUNCTION("""COMPUTED_VALUE"""),"MBK Veľké Kapušany")</f>
        <v>MBK Veľké Kapušany</v>
      </c>
      <c r="I18" s="14" t="str">
        <f t="shared" si="0"/>
        <v>A</v>
      </c>
      <c r="J18" s="12">
        <f>COUNTIF(I$6:I18,I18)</f>
        <v>13</v>
      </c>
      <c r="K18" s="50">
        <v>0.02670138888888889</v>
      </c>
    </row>
    <row r="19" spans="1:11" ht="15" customHeight="1">
      <c r="A19" s="5">
        <v>14</v>
      </c>
      <c r="B19" s="13">
        <v>85</v>
      </c>
      <c r="C19" s="46" t="str">
        <f>_xlfn.IFERROR(__xludf.DUMMYFUNCTION("""COMPUTED_VALUE"""),"GIC")</f>
        <v>GIC</v>
      </c>
      <c r="D19" s="41" t="str">
        <f>_xlfn.IFERROR(__xludf.DUMMYFUNCTION("""COMPUTED_VALUE"""),"Jakub")</f>
        <v>Jakub</v>
      </c>
      <c r="E19" s="7" t="s">
        <v>11</v>
      </c>
      <c r="F19" s="31" t="s">
        <v>3</v>
      </c>
      <c r="G19" s="26">
        <f>_xlfn.IFERROR(__xludf.DUMMYFUNCTION("""COMPUTED_VALUE"""),1986)</f>
        <v>1986</v>
      </c>
      <c r="H19" s="37" t="str">
        <f>_xlfn.IFERROR(__xludf.DUMMYFUNCTION("""COMPUTED_VALUE"""),"Prešov")</f>
        <v>Prešov</v>
      </c>
      <c r="I19" s="14" t="str">
        <f t="shared" si="0"/>
        <v>A</v>
      </c>
      <c r="J19" s="12">
        <f>COUNTIF(I$6:I19,I19)</f>
        <v>14</v>
      </c>
      <c r="K19" s="50">
        <v>0.026747685185185183</v>
      </c>
    </row>
    <row r="20" spans="1:11" ht="15" customHeight="1">
      <c r="A20" s="10">
        <v>15</v>
      </c>
      <c r="B20" s="13">
        <v>48</v>
      </c>
      <c r="C20" s="45" t="str">
        <f>_xlfn.IFERROR(__xludf.DUMMYFUNCTION("""COMPUTED_VALUE"""),"SIDORJAK")</f>
        <v>SIDORJAK</v>
      </c>
      <c r="D20" s="40" t="str">
        <f>_xlfn.IFERROR(__xludf.DUMMYFUNCTION("""COMPUTED_VALUE"""),"Lukáš")</f>
        <v>Lukáš</v>
      </c>
      <c r="E20" s="7" t="s">
        <v>11</v>
      </c>
      <c r="F20" s="32" t="s">
        <v>3</v>
      </c>
      <c r="G20" s="27">
        <f>_xlfn.IFERROR(__xludf.DUMMYFUNCTION("""COMPUTED_VALUE"""),1992)</f>
        <v>1992</v>
      </c>
      <c r="H20" s="38" t="str">
        <f>_xlfn.IFERROR(__xludf.DUMMYFUNCTION("""COMPUTED_VALUE"""),"Prešov ")</f>
        <v>Prešov </v>
      </c>
      <c r="I20" s="14" t="str">
        <f t="shared" si="0"/>
        <v>A</v>
      </c>
      <c r="J20" s="12">
        <f>COUNTIF(I$6:I20,I20)</f>
        <v>15</v>
      </c>
      <c r="K20" s="50">
        <v>0.02684027777777778</v>
      </c>
    </row>
    <row r="21" spans="1:11" ht="15" customHeight="1">
      <c r="A21" s="5">
        <v>16</v>
      </c>
      <c r="B21" s="13">
        <v>115</v>
      </c>
      <c r="C21" s="45" t="str">
        <f>_xlfn.IFERROR(__xludf.DUMMYFUNCTION("""COMPUTED_VALUE"""),"KIZEK")</f>
        <v>KIZEK</v>
      </c>
      <c r="D21" s="40" t="str">
        <f>_xlfn.IFERROR(__xludf.DUMMYFUNCTION("""COMPUTED_VALUE"""),"Peter")</f>
        <v>Peter</v>
      </c>
      <c r="E21" s="7" t="s">
        <v>11</v>
      </c>
      <c r="F21" s="32" t="s">
        <v>3</v>
      </c>
      <c r="G21" s="27">
        <f>_xlfn.IFERROR(__xludf.DUMMYFUNCTION("""COMPUTED_VALUE"""),2000)</f>
        <v>2000</v>
      </c>
      <c r="H21" s="38" t="str">
        <f>_xlfn.IFERROR(__xludf.DUMMYFUNCTION("""COMPUTED_VALUE"""),"TJ Sokol Ľubotice")</f>
        <v>TJ Sokol Ľubotice</v>
      </c>
      <c r="I21" s="14" t="str">
        <f t="shared" si="0"/>
        <v>A</v>
      </c>
      <c r="J21" s="12">
        <f>COUNTIF(I$6:I21,I21)</f>
        <v>16</v>
      </c>
      <c r="K21" s="50">
        <v>0.02758101851851852</v>
      </c>
    </row>
    <row r="22" spans="1:11" ht="15" customHeight="1">
      <c r="A22" s="10">
        <v>17</v>
      </c>
      <c r="B22" s="13">
        <v>14</v>
      </c>
      <c r="C22" s="44" t="s">
        <v>40</v>
      </c>
      <c r="D22" s="42" t="s">
        <v>41</v>
      </c>
      <c r="E22" s="7" t="s">
        <v>11</v>
      </c>
      <c r="F22" s="13" t="s">
        <v>3</v>
      </c>
      <c r="G22" s="28">
        <v>1996</v>
      </c>
      <c r="H22" s="39" t="s">
        <v>26</v>
      </c>
      <c r="I22" s="14" t="str">
        <f t="shared" si="0"/>
        <v>A</v>
      </c>
      <c r="J22" s="12">
        <f>COUNTIF(I$6:I22,I22)</f>
        <v>17</v>
      </c>
      <c r="K22" s="50">
        <v>0.02773148148148148</v>
      </c>
    </row>
    <row r="23" spans="1:11" ht="15" customHeight="1">
      <c r="A23" s="5">
        <v>18</v>
      </c>
      <c r="B23" s="13">
        <v>108</v>
      </c>
      <c r="C23" s="46" t="s">
        <v>92</v>
      </c>
      <c r="D23" s="41" t="s">
        <v>55</v>
      </c>
      <c r="E23" s="7" t="s">
        <v>11</v>
      </c>
      <c r="F23" s="31" t="s">
        <v>3</v>
      </c>
      <c r="G23" s="26" t="s">
        <v>93</v>
      </c>
      <c r="H23" s="37" t="s">
        <v>94</v>
      </c>
      <c r="I23" s="14" t="str">
        <f t="shared" si="0"/>
        <v>A</v>
      </c>
      <c r="J23" s="12">
        <f>COUNTIF(I$6:I23,I23)</f>
        <v>18</v>
      </c>
      <c r="K23" s="50">
        <v>0.028576388888888887</v>
      </c>
    </row>
    <row r="24" spans="1:11" ht="15" customHeight="1">
      <c r="A24" s="10">
        <v>19</v>
      </c>
      <c r="B24" s="13">
        <v>105</v>
      </c>
      <c r="C24" s="46" t="str">
        <f>_xlfn.IFERROR(__xludf.DUMMYFUNCTION("""COMPUTED_VALUE"""),"HRIC")</f>
        <v>HRIC</v>
      </c>
      <c r="D24" s="41" t="str">
        <f>_xlfn.IFERROR(__xludf.DUMMYFUNCTION("""COMPUTED_VALUE"""),"František")</f>
        <v>František</v>
      </c>
      <c r="E24" s="7" t="s">
        <v>11</v>
      </c>
      <c r="F24" s="31" t="s">
        <v>3</v>
      </c>
      <c r="G24" s="26">
        <f>_xlfn.IFERROR(__xludf.DUMMYFUNCTION("""COMPUTED_VALUE"""),2001)</f>
        <v>2001</v>
      </c>
      <c r="H24" s="37" t="str">
        <f>_xlfn.IFERROR(__xludf.DUMMYFUNCTION("""COMPUTED_VALUE"""),"MARAS team")</f>
        <v>MARAS team</v>
      </c>
      <c r="I24" s="14" t="str">
        <f t="shared" si="0"/>
        <v>A</v>
      </c>
      <c r="J24" s="12">
        <f>COUNTIF(I$6:I24,I24)</f>
        <v>19</v>
      </c>
      <c r="K24" s="50">
        <v>0.029247685185185186</v>
      </c>
    </row>
    <row r="25" spans="1:11" ht="15" customHeight="1">
      <c r="A25" s="5">
        <v>20</v>
      </c>
      <c r="B25" s="13">
        <v>84</v>
      </c>
      <c r="C25" s="45" t="str">
        <f>_xlfn.IFERROR(__xludf.DUMMYFUNCTION("""COMPUTED_VALUE"""),"MARCHEVSKÝ")</f>
        <v>MARCHEVSKÝ</v>
      </c>
      <c r="D25" s="40" t="s">
        <v>84</v>
      </c>
      <c r="E25" s="7" t="s">
        <v>11</v>
      </c>
      <c r="F25" s="32" t="s">
        <v>3</v>
      </c>
      <c r="G25" s="27">
        <f>_xlfn.IFERROR(__xludf.DUMMYFUNCTION("""COMPUTED_VALUE"""),1990)</f>
        <v>1990</v>
      </c>
      <c r="H25" s="38" t="str">
        <f>_xlfn.IFERROR(__xludf.DUMMYFUNCTION("""COMPUTED_VALUE"""),"Prešov")</f>
        <v>Prešov</v>
      </c>
      <c r="I25" s="14" t="str">
        <f t="shared" si="0"/>
        <v>A</v>
      </c>
      <c r="J25" s="12">
        <f>COUNTIF(I$6:I25,I25)</f>
        <v>20</v>
      </c>
      <c r="K25" s="50">
        <v>0.029305555555555557</v>
      </c>
    </row>
    <row r="26" spans="1:11" ht="15" customHeight="1">
      <c r="A26" s="10">
        <v>21</v>
      </c>
      <c r="B26" s="13">
        <v>133</v>
      </c>
      <c r="C26" s="46" t="str">
        <f>_xlfn.IFERROR(__xludf.DUMMYFUNCTION("""COMPUTED_VALUE"""),"HAVRILA")</f>
        <v>HAVRILA</v>
      </c>
      <c r="D26" s="41" t="str">
        <f>_xlfn.IFERROR(__xludf.DUMMYFUNCTION("""COMPUTED_VALUE"""),"Dominik")</f>
        <v>Dominik</v>
      </c>
      <c r="E26" s="7" t="s">
        <v>11</v>
      </c>
      <c r="F26" s="31" t="s">
        <v>3</v>
      </c>
      <c r="G26" s="26">
        <f>_xlfn.IFERROR(__xludf.DUMMYFUNCTION("""COMPUTED_VALUE"""),1999)</f>
        <v>1999</v>
      </c>
      <c r="H26" s="37" t="str">
        <f>_xlfn.IFERROR(__xludf.DUMMYFUNCTION("""COMPUTED_VALUE"""),"Petrovany")</f>
        <v>Petrovany</v>
      </c>
      <c r="I26" s="14" t="str">
        <f t="shared" si="0"/>
        <v>A</v>
      </c>
      <c r="J26" s="12">
        <f>COUNTIF(I$6:I26,I26)</f>
        <v>21</v>
      </c>
      <c r="K26" s="50">
        <v>0.029375</v>
      </c>
    </row>
    <row r="27" spans="1:11" ht="15" customHeight="1">
      <c r="A27" s="5">
        <v>22</v>
      </c>
      <c r="B27" s="13">
        <v>70</v>
      </c>
      <c r="C27" s="46" t="str">
        <f>_xlfn.IFERROR(__xludf.DUMMYFUNCTION("""COMPUTED_VALUE"""),"MARCINKO")</f>
        <v>MARCINKO</v>
      </c>
      <c r="D27" s="41" t="str">
        <f>_xlfn.IFERROR(__xludf.DUMMYFUNCTION("""COMPUTED_VALUE"""),"Karol")</f>
        <v>Karol</v>
      </c>
      <c r="E27" s="7" t="s">
        <v>11</v>
      </c>
      <c r="F27" s="31" t="s">
        <v>3</v>
      </c>
      <c r="G27" s="26">
        <f>_xlfn.IFERROR(__xludf.DUMMYFUNCTION("""COMPUTED_VALUE"""),1993)</f>
        <v>1993</v>
      </c>
      <c r="H27" s="37" t="str">
        <f>_xlfn.IFERROR(__xludf.DUMMYFUNCTION("""COMPUTED_VALUE"""),"Prešov")</f>
        <v>Prešov</v>
      </c>
      <c r="I27" s="14" t="str">
        <f t="shared" si="0"/>
        <v>A</v>
      </c>
      <c r="J27" s="12">
        <f>COUNTIF(I$6:I27,I27)</f>
        <v>22</v>
      </c>
      <c r="K27" s="50">
        <v>0.0297337962962963</v>
      </c>
    </row>
    <row r="28" spans="1:11" ht="15" customHeight="1">
      <c r="A28" s="10">
        <v>23</v>
      </c>
      <c r="B28" s="13">
        <v>94</v>
      </c>
      <c r="C28" s="46" t="str">
        <f>_xlfn.IFERROR(__xludf.DUMMYFUNCTION("""COMPUTED_VALUE"""),"ŠKERHÁK")</f>
        <v>ŠKERHÁK</v>
      </c>
      <c r="D28" s="41" t="str">
        <f>_xlfn.IFERROR(__xludf.DUMMYFUNCTION("""COMPUTED_VALUE"""),"Róbert")</f>
        <v>Róbert</v>
      </c>
      <c r="E28" s="7" t="s">
        <v>11</v>
      </c>
      <c r="F28" s="31" t="s">
        <v>3</v>
      </c>
      <c r="G28" s="26">
        <f>_xlfn.IFERROR(__xludf.DUMMYFUNCTION("""COMPUTED_VALUE"""),1981)</f>
        <v>1981</v>
      </c>
      <c r="H28" s="37" t="str">
        <f>_xlfn.IFERROR(__xludf.DUMMYFUNCTION("""COMPUTED_VALUE"""),"Kokošovce")</f>
        <v>Kokošovce</v>
      </c>
      <c r="I28" s="14" t="str">
        <f t="shared" si="0"/>
        <v>A</v>
      </c>
      <c r="J28" s="12">
        <f>COUNTIF(I$6:I28,I28)</f>
        <v>23</v>
      </c>
      <c r="K28" s="50">
        <v>0.030416666666666665</v>
      </c>
    </row>
    <row r="29" spans="1:11" ht="15" customHeight="1">
      <c r="A29" s="5">
        <v>24</v>
      </c>
      <c r="B29" s="13">
        <v>18</v>
      </c>
      <c r="C29" s="44" t="s">
        <v>44</v>
      </c>
      <c r="D29" s="42" t="s">
        <v>35</v>
      </c>
      <c r="E29" s="7" t="s">
        <v>11</v>
      </c>
      <c r="F29" s="13" t="s">
        <v>3</v>
      </c>
      <c r="G29" s="28">
        <v>1992</v>
      </c>
      <c r="H29" s="39" t="s">
        <v>45</v>
      </c>
      <c r="I29" s="14" t="str">
        <f t="shared" si="0"/>
        <v>A</v>
      </c>
      <c r="J29" s="12">
        <f>COUNTIF(I$6:I29,I29)</f>
        <v>24</v>
      </c>
      <c r="K29" s="50">
        <v>0.030625</v>
      </c>
    </row>
    <row r="30" spans="1:11" ht="15" customHeight="1">
      <c r="A30" s="10">
        <v>25</v>
      </c>
      <c r="B30" s="13">
        <v>119</v>
      </c>
      <c r="C30" s="45" t="str">
        <f>_xlfn.IFERROR(__xludf.DUMMYFUNCTION("""COMPUTED_VALUE"""),"POLÁČEK")</f>
        <v>POLÁČEK</v>
      </c>
      <c r="D30" s="40" t="str">
        <f>_xlfn.IFERROR(__xludf.DUMMYFUNCTION("""COMPUTED_VALUE"""),"Michal")</f>
        <v>Michal</v>
      </c>
      <c r="E30" s="7" t="s">
        <v>11</v>
      </c>
      <c r="F30" s="32" t="s">
        <v>3</v>
      </c>
      <c r="G30" s="27">
        <f>_xlfn.IFERROR(__xludf.DUMMYFUNCTION("""COMPUTED_VALUE"""),1993)</f>
        <v>1993</v>
      </c>
      <c r="H30" s="37" t="str">
        <f>_xlfn.IFERROR(__xludf.DUMMYFUNCTION("""COMPUTED_VALUE"""),"Active Life Košice")</f>
        <v>Active Life Košice</v>
      </c>
      <c r="I30" s="14" t="str">
        <f t="shared" si="0"/>
        <v>A</v>
      </c>
      <c r="J30" s="12">
        <f>COUNTIF(I$6:I30,I30)</f>
        <v>25</v>
      </c>
      <c r="K30" s="50">
        <v>0.03079861111111111</v>
      </c>
    </row>
    <row r="31" spans="1:11" ht="15" customHeight="1">
      <c r="A31" s="5">
        <v>26</v>
      </c>
      <c r="B31" s="13">
        <v>138</v>
      </c>
      <c r="C31" s="46" t="str">
        <f>_xlfn.IFERROR(__xludf.DUMMYFUNCTION("""COMPUTED_VALUE"""),"DUDÁŠ")</f>
        <v>DUDÁŠ</v>
      </c>
      <c r="D31" s="41" t="str">
        <f>_xlfn.IFERROR(__xludf.DUMMYFUNCTION("""COMPUTED_VALUE"""),"Michal")</f>
        <v>Michal</v>
      </c>
      <c r="E31" s="7" t="s">
        <v>11</v>
      </c>
      <c r="F31" s="31" t="s">
        <v>3</v>
      </c>
      <c r="G31" s="26">
        <f>_xlfn.IFERROR(__xludf.DUMMYFUNCTION("""COMPUTED_VALUE"""),1991)</f>
        <v>1991</v>
      </c>
      <c r="H31" s="37" t="str">
        <f>_xlfn.IFERROR(__xludf.DUMMYFUNCTION("""COMPUTED_VALUE"""),"Prešov")</f>
        <v>Prešov</v>
      </c>
      <c r="I31" s="14" t="str">
        <f t="shared" si="0"/>
        <v>A</v>
      </c>
      <c r="J31" s="12">
        <f>COUNTIF(I$6:I31,I31)</f>
        <v>26</v>
      </c>
      <c r="K31" s="50">
        <v>0.030833333333333334</v>
      </c>
    </row>
    <row r="32" spans="1:11" ht="15" customHeight="1">
      <c r="A32" s="10">
        <v>27</v>
      </c>
      <c r="B32" s="13">
        <v>16</v>
      </c>
      <c r="C32" s="45" t="str">
        <f>_xlfn.IFERROR(__xludf.DUMMYFUNCTION("""COMPUTED_VALUE"""),"BALOGA")</f>
        <v>BALOGA</v>
      </c>
      <c r="D32" s="40" t="str">
        <f>_xlfn.IFERROR(__xludf.DUMMYFUNCTION("""COMPUTED_VALUE"""),"Marián")</f>
        <v>Marián</v>
      </c>
      <c r="E32" s="7" t="s">
        <v>11</v>
      </c>
      <c r="F32" s="32" t="s">
        <v>3</v>
      </c>
      <c r="G32" s="27">
        <f>_xlfn.IFERROR(__xludf.DUMMYFUNCTION("""COMPUTED_VALUE"""),1993)</f>
        <v>1993</v>
      </c>
      <c r="H32" s="38" t="str">
        <f>_xlfn.IFERROR(__xludf.DUMMYFUNCTION("""COMPUTED_VALUE"""),"Prešov")</f>
        <v>Prešov</v>
      </c>
      <c r="I32" s="14" t="str">
        <f t="shared" si="0"/>
        <v>A</v>
      </c>
      <c r="J32" s="12">
        <f>COUNTIF(I$6:I32,I32)</f>
        <v>27</v>
      </c>
      <c r="K32" s="50">
        <v>0.03128472222222222</v>
      </c>
    </row>
    <row r="33" spans="1:11" ht="15" customHeight="1">
      <c r="A33" s="5">
        <v>28</v>
      </c>
      <c r="B33" s="13">
        <v>121</v>
      </c>
      <c r="C33" s="46" t="str">
        <f>_xlfn.IFERROR(__xludf.DUMMYFUNCTION("""COMPUTED_VALUE"""),"DOŇÁK")</f>
        <v>DOŇÁK</v>
      </c>
      <c r="D33" s="41" t="str">
        <f>_xlfn.IFERROR(__xludf.DUMMYFUNCTION("""COMPUTED_VALUE"""),"Tomas")</f>
        <v>Tomas</v>
      </c>
      <c r="E33" s="7" t="s">
        <v>11</v>
      </c>
      <c r="F33" s="31" t="s">
        <v>3</v>
      </c>
      <c r="G33" s="26">
        <f>_xlfn.IFERROR(__xludf.DUMMYFUNCTION("""COMPUTED_VALUE"""),1985)</f>
        <v>1985</v>
      </c>
      <c r="H33" s="37" t="str">
        <f>_xlfn.IFERROR(__xludf.DUMMYFUNCTION("""COMPUTED_VALUE"""),"Dulova Ves")</f>
        <v>Dulova Ves</v>
      </c>
      <c r="I33" s="14" t="str">
        <f t="shared" si="0"/>
        <v>A</v>
      </c>
      <c r="J33" s="12">
        <f>COUNTIF(I$6:I33,I33)</f>
        <v>28</v>
      </c>
      <c r="K33" s="50">
        <v>0.03135416666666666</v>
      </c>
    </row>
    <row r="34" spans="1:11" ht="15" customHeight="1">
      <c r="A34" s="10">
        <v>29</v>
      </c>
      <c r="B34" s="13">
        <v>58</v>
      </c>
      <c r="C34" s="44" t="s">
        <v>69</v>
      </c>
      <c r="D34" s="42" t="s">
        <v>70</v>
      </c>
      <c r="E34" s="7" t="s">
        <v>11</v>
      </c>
      <c r="F34" s="13" t="s">
        <v>3</v>
      </c>
      <c r="G34" s="28">
        <v>1988</v>
      </c>
      <c r="H34" s="39" t="s">
        <v>26</v>
      </c>
      <c r="I34" s="14" t="str">
        <f t="shared" si="0"/>
        <v>A</v>
      </c>
      <c r="J34" s="12">
        <f>COUNTIF(I$6:I34,I34)</f>
        <v>29</v>
      </c>
      <c r="K34" s="50">
        <v>0.031574074074074074</v>
      </c>
    </row>
    <row r="35" spans="1:11" ht="15" customHeight="1">
      <c r="A35" s="5">
        <v>30</v>
      </c>
      <c r="B35" s="13">
        <v>82</v>
      </c>
      <c r="C35" s="46" t="str">
        <f>_xlfn.IFERROR(__xludf.DUMMYFUNCTION("""COMPUTED_VALUE"""),"ULIČNÝ")</f>
        <v>ULIČNÝ</v>
      </c>
      <c r="D35" s="41" t="str">
        <f>_xlfn.IFERROR(__xludf.DUMMYFUNCTION("""COMPUTED_VALUE"""),"Peter")</f>
        <v>Peter</v>
      </c>
      <c r="E35" s="7" t="s">
        <v>11</v>
      </c>
      <c r="F35" s="31" t="s">
        <v>3</v>
      </c>
      <c r="G35" s="26">
        <f>_xlfn.IFERROR(__xludf.DUMMYFUNCTION("""COMPUTED_VALUE"""),1983)</f>
        <v>1983</v>
      </c>
      <c r="H35" s="37" t="str">
        <f>_xlfn.IFERROR(__xludf.DUMMYFUNCTION("""COMPUTED_VALUE"""),"MARAS team")</f>
        <v>MARAS team</v>
      </c>
      <c r="I35" s="14" t="str">
        <f t="shared" si="0"/>
        <v>A</v>
      </c>
      <c r="J35" s="12">
        <f>COUNTIF(I$6:I35,I35)</f>
        <v>30</v>
      </c>
      <c r="K35" s="50">
        <v>0.031608796296296295</v>
      </c>
    </row>
    <row r="36" spans="1:11" ht="15" customHeight="1">
      <c r="A36" s="10">
        <v>31</v>
      </c>
      <c r="B36" s="13">
        <v>39</v>
      </c>
      <c r="C36" s="45" t="str">
        <f>_xlfn.IFERROR(__xludf.DUMMYFUNCTION("""COMPUTED_VALUE"""),"IVANOV")</f>
        <v>IVANOV</v>
      </c>
      <c r="D36" s="40" t="str">
        <f>_xlfn.IFERROR(__xludf.DUMMYFUNCTION("""COMPUTED_VALUE"""),"Juraj")</f>
        <v>Juraj</v>
      </c>
      <c r="E36" s="7" t="s">
        <v>11</v>
      </c>
      <c r="F36" s="32" t="s">
        <v>3</v>
      </c>
      <c r="G36" s="27">
        <f>_xlfn.IFERROR(__xludf.DUMMYFUNCTION("""COMPUTED_VALUE"""),1983)</f>
        <v>1983</v>
      </c>
      <c r="H36" s="38" t="str">
        <f>_xlfn.IFERROR(__xludf.DUMMYFUNCTION("""COMPUTED_VALUE"""),"Sigord")</f>
        <v>Sigord</v>
      </c>
      <c r="I36" s="14" t="str">
        <f t="shared" si="0"/>
        <v>A</v>
      </c>
      <c r="J36" s="12">
        <f>COUNTIF(I$6:I36,I36)</f>
        <v>31</v>
      </c>
      <c r="K36" s="50">
        <v>0.03222222222222222</v>
      </c>
    </row>
    <row r="37" spans="1:11" ht="15" customHeight="1">
      <c r="A37" s="5">
        <v>32</v>
      </c>
      <c r="B37" s="13">
        <v>63</v>
      </c>
      <c r="C37" s="46" t="str">
        <f>_xlfn.IFERROR(__xludf.DUMMYFUNCTION("""COMPUTED_VALUE"""),"VIŠŇOVSKÝ")</f>
        <v>VIŠŇOVSKÝ</v>
      </c>
      <c r="D37" s="41" t="str">
        <f>_xlfn.IFERROR(__xludf.DUMMYFUNCTION("""COMPUTED_VALUE"""),"Maroš")</f>
        <v>Maroš</v>
      </c>
      <c r="E37" s="7" t="s">
        <v>11</v>
      </c>
      <c r="F37" s="31" t="s">
        <v>3</v>
      </c>
      <c r="G37" s="26">
        <f>_xlfn.IFERROR(__xludf.DUMMYFUNCTION("""COMPUTED_VALUE"""),1987)</f>
        <v>1987</v>
      </c>
      <c r="H37" s="37" t="str">
        <f>_xlfn.IFERROR(__xludf.DUMMYFUNCTION("""COMPUTED_VALUE"""),"Prešov")</f>
        <v>Prešov</v>
      </c>
      <c r="I37" s="14" t="str">
        <f t="shared" si="0"/>
        <v>A</v>
      </c>
      <c r="J37" s="12">
        <f>COUNTIF(I$6:I37,I37)</f>
        <v>32</v>
      </c>
      <c r="K37" s="50">
        <v>0.03366898148148148</v>
      </c>
    </row>
    <row r="38" spans="1:11" ht="15" customHeight="1">
      <c r="A38" s="10">
        <v>33</v>
      </c>
      <c r="B38" s="13">
        <v>61</v>
      </c>
      <c r="C38" s="46" t="str">
        <f>_xlfn.IFERROR(__xludf.DUMMYFUNCTION("""COMPUTED_VALUE"""),"ČOPJAK")</f>
        <v>ČOPJAK</v>
      </c>
      <c r="D38" s="41" t="str">
        <f>_xlfn.IFERROR(__xludf.DUMMYFUNCTION("""COMPUTED_VALUE"""),"Miroslav")</f>
        <v>Miroslav</v>
      </c>
      <c r="E38" s="7" t="s">
        <v>11</v>
      </c>
      <c r="F38" s="31" t="s">
        <v>3</v>
      </c>
      <c r="G38" s="26">
        <f>_xlfn.IFERROR(__xludf.DUMMYFUNCTION("""COMPUTED_VALUE"""),1985)</f>
        <v>1985</v>
      </c>
      <c r="H38" s="37" t="str">
        <f>_xlfn.IFERROR(__xludf.DUMMYFUNCTION("""COMPUTED_VALUE"""),"Lektvare")</f>
        <v>Lektvare</v>
      </c>
      <c r="I38" s="14" t="str">
        <f t="shared" si="0"/>
        <v>A</v>
      </c>
      <c r="J38" s="12">
        <f>COUNTIF(I$6:I38,I38)</f>
        <v>33</v>
      </c>
      <c r="K38" s="50">
        <v>0.03375</v>
      </c>
    </row>
    <row r="39" spans="1:11" ht="15" customHeight="1">
      <c r="A39" s="5">
        <v>34</v>
      </c>
      <c r="B39" s="13">
        <v>101</v>
      </c>
      <c r="C39" s="46" t="str">
        <f>_xlfn.IFERROR(__xludf.DUMMYFUNCTION("""COMPUTED_VALUE"""),"DEMČO")</f>
        <v>DEMČO</v>
      </c>
      <c r="D39" s="41" t="str">
        <f>_xlfn.IFERROR(__xludf.DUMMYFUNCTION("""COMPUTED_VALUE"""),"Michal")</f>
        <v>Michal</v>
      </c>
      <c r="E39" s="7" t="s">
        <v>11</v>
      </c>
      <c r="F39" s="31" t="s">
        <v>3</v>
      </c>
      <c r="G39" s="26">
        <f>_xlfn.IFERROR(__xludf.DUMMYFUNCTION("""COMPUTED_VALUE"""),1993)</f>
        <v>1993</v>
      </c>
      <c r="H39" s="37" t="str">
        <f>_xlfn.IFERROR(__xludf.DUMMYFUNCTION("""COMPUTED_VALUE"""),"KAMI kov ")</f>
        <v>KAMI kov </v>
      </c>
      <c r="I39" s="14" t="str">
        <f t="shared" si="0"/>
        <v>A</v>
      </c>
      <c r="J39" s="12">
        <f>COUNTIF(I$6:I39,I39)</f>
        <v>34</v>
      </c>
      <c r="K39" s="50">
        <v>0.03685185185185185</v>
      </c>
    </row>
    <row r="40" spans="1:11" ht="15" customHeight="1">
      <c r="A40" s="10">
        <v>35</v>
      </c>
      <c r="B40" s="13">
        <v>117</v>
      </c>
      <c r="C40" s="45" t="str">
        <f>_xlfn.IFERROR(__xludf.DUMMYFUNCTION("""COMPUTED_VALUE"""),"SABOL")</f>
        <v>SABOL</v>
      </c>
      <c r="D40" s="40" t="str">
        <f>_xlfn.IFERROR(__xludf.DUMMYFUNCTION("""COMPUTED_VALUE"""),"Marek")</f>
        <v>Marek</v>
      </c>
      <c r="E40" s="7" t="s">
        <v>11</v>
      </c>
      <c r="F40" s="32" t="s">
        <v>3</v>
      </c>
      <c r="G40" s="27">
        <f>_xlfn.IFERROR(__xludf.DUMMYFUNCTION("""COMPUTED_VALUE"""),1991)</f>
        <v>1991</v>
      </c>
      <c r="H40" s="38" t="str">
        <f>_xlfn.IFERROR(__xludf.DUMMYFUNCTION("""COMPUTED_VALUE"""),"Active life")</f>
        <v>Active life</v>
      </c>
      <c r="I40" s="14" t="str">
        <f t="shared" si="0"/>
        <v>A</v>
      </c>
      <c r="J40" s="12">
        <f>COUNTIF(I$6:I40,I40)</f>
        <v>35</v>
      </c>
      <c r="K40" s="50">
        <v>0.037453703703703704</v>
      </c>
    </row>
    <row r="41" spans="1:11" ht="15" customHeight="1">
      <c r="A41" s="5">
        <v>36</v>
      </c>
      <c r="B41" s="13">
        <v>22</v>
      </c>
      <c r="C41" s="45" t="str">
        <f>_xlfn.IFERROR(__xludf.DUMMYFUNCTION("""COMPUTED_VALUE"""),"RIŇAK")</f>
        <v>RIŇAK</v>
      </c>
      <c r="D41" s="40" t="str">
        <f>_xlfn.IFERROR(__xludf.DUMMYFUNCTION("""COMPUTED_VALUE"""),"Martin")</f>
        <v>Martin</v>
      </c>
      <c r="E41" s="7" t="s">
        <v>11</v>
      </c>
      <c r="F41" s="32" t="s">
        <v>3</v>
      </c>
      <c r="G41" s="27">
        <f>_xlfn.IFERROR(__xludf.DUMMYFUNCTION("""COMPUTED_VALUE"""),1987)</f>
        <v>1987</v>
      </c>
      <c r="H41" s="38" t="str">
        <f>_xlfn.IFERROR(__xludf.DUMMYFUNCTION("""COMPUTED_VALUE"""),"BFG")</f>
        <v>BFG</v>
      </c>
      <c r="I41" s="14" t="str">
        <f t="shared" si="0"/>
        <v>A</v>
      </c>
      <c r="J41" s="12">
        <f>COUNTIF(I$6:I41,I41)</f>
        <v>36</v>
      </c>
      <c r="K41" s="50">
        <v>0.03753472222222222</v>
      </c>
    </row>
    <row r="42" spans="1:11" ht="15" customHeight="1">
      <c r="A42" s="10">
        <v>37</v>
      </c>
      <c r="B42" s="13">
        <v>95</v>
      </c>
      <c r="C42" s="46" t="str">
        <f>_xlfn.IFERROR(__xludf.DUMMYFUNCTION("""COMPUTED_VALUE"""),"SIVÁK")</f>
        <v>SIVÁK</v>
      </c>
      <c r="D42" s="41" t="str">
        <f>_xlfn.IFERROR(__xludf.DUMMYFUNCTION("""COMPUTED_VALUE"""),"Oto")</f>
        <v>Oto</v>
      </c>
      <c r="E42" s="7" t="s">
        <v>11</v>
      </c>
      <c r="F42" s="31" t="s">
        <v>3</v>
      </c>
      <c r="G42" s="26">
        <f>_xlfn.IFERROR(__xludf.DUMMYFUNCTION("""COMPUTED_VALUE"""),1986)</f>
        <v>1986</v>
      </c>
      <c r="H42" s="37" t="str">
        <f>_xlfn.IFERROR(__xludf.DUMMYFUNCTION("""COMPUTED_VALUE"""),"Prešov")</f>
        <v>Prešov</v>
      </c>
      <c r="I42" s="14" t="str">
        <f t="shared" si="0"/>
        <v>A</v>
      </c>
      <c r="J42" s="12">
        <f>COUNTIF(I$6:I42,I42)</f>
        <v>37</v>
      </c>
      <c r="K42" s="50">
        <v>0.0390625</v>
      </c>
    </row>
    <row r="43" spans="1:11" ht="15" customHeight="1">
      <c r="A43" s="5">
        <v>38</v>
      </c>
      <c r="B43" s="13">
        <v>118</v>
      </c>
      <c r="C43" s="34" t="str">
        <f>_xlfn.IFERROR(__xludf.DUMMYFUNCTION("""COMPUTED_VALUE"""),"ŠIMKO")</f>
        <v>ŠIMKO</v>
      </c>
      <c r="D43" s="40" t="str">
        <f>_xlfn.IFERROR(__xludf.DUMMYFUNCTION("""COMPUTED_VALUE"""),"Radoslav")</f>
        <v>Radoslav</v>
      </c>
      <c r="E43" s="7" t="s">
        <v>11</v>
      </c>
      <c r="F43" s="32" t="s">
        <v>3</v>
      </c>
      <c r="G43" s="27">
        <f>_xlfn.IFERROR(__xludf.DUMMYFUNCTION("""COMPUTED_VALUE"""),1983)</f>
        <v>1983</v>
      </c>
      <c r="H43" s="40" t="str">
        <f>_xlfn.IFERROR(__xludf.DUMMYFUNCTION("""COMPUTED_VALUE"""),"MARAS team")</f>
        <v>MARAS team</v>
      </c>
      <c r="I43" s="12" t="str">
        <f t="shared" si="0"/>
        <v>A</v>
      </c>
      <c r="J43" s="12">
        <f>COUNTIF(I$6:I43,I43)</f>
        <v>38</v>
      </c>
      <c r="K43" s="50">
        <v>0.046134259259259264</v>
      </c>
    </row>
    <row r="44" spans="1:11" s="3" customFormat="1" ht="28.5" customHeight="1">
      <c r="A44" s="169" t="s">
        <v>101</v>
      </c>
      <c r="B44" s="8"/>
      <c r="C44" s="138"/>
      <c r="D44" s="139"/>
      <c r="E44" s="140"/>
      <c r="F44" s="141"/>
      <c r="G44" s="142"/>
      <c r="H44" s="139"/>
      <c r="I44" s="15"/>
      <c r="J44" s="15"/>
      <c r="K44" s="143"/>
    </row>
    <row r="45" spans="1:11" s="74" customFormat="1" ht="15" customHeight="1">
      <c r="A45" s="82">
        <v>1</v>
      </c>
      <c r="B45" s="75">
        <v>112</v>
      </c>
      <c r="C45" s="144" t="s">
        <v>95</v>
      </c>
      <c r="D45" s="77" t="s">
        <v>22</v>
      </c>
      <c r="E45" s="78" t="s">
        <v>11</v>
      </c>
      <c r="F45" s="75" t="s">
        <v>3</v>
      </c>
      <c r="G45" s="79">
        <v>1979</v>
      </c>
      <c r="H45" s="77" t="s">
        <v>96</v>
      </c>
      <c r="I45" s="81" t="str">
        <f aca="true" t="shared" si="1" ref="I45:I61">IF(F45="m",IF($G$1-$G45&lt;=17,"JM",IF($G$1-$G45&lt;=39,"A",IF($G$1-$G45&lt;=49,"B",IF($G$1-$G45&lt;=59,"C",IF($G$1-$G45&lt;=69,"D","E"))))),IF($G$1-$G45&lt;=17,"JŽ",IF($G$1-$G45&lt;=39,"F",IF($G$1-$G45&lt;=49,"G",IF($G$1-$G45&lt;=59,"H","I")))))</f>
        <v>B</v>
      </c>
      <c r="J45" s="81">
        <f>COUNTIF(I$6:I45,I45)</f>
        <v>1</v>
      </c>
      <c r="K45" s="73">
        <v>0.02349537037037037</v>
      </c>
    </row>
    <row r="46" spans="1:11" s="104" customFormat="1" ht="15" customHeight="1">
      <c r="A46" s="94">
        <v>2</v>
      </c>
      <c r="B46" s="95">
        <v>76</v>
      </c>
      <c r="C46" s="145" t="str">
        <f>_xlfn.IFERROR(__xludf.DUMMYFUNCTION("""COMPUTED_VALUE"""),"PASTOR")</f>
        <v>PASTOR</v>
      </c>
      <c r="D46" s="106" t="str">
        <f>_xlfn.IFERROR(__xludf.DUMMYFUNCTION("""COMPUTED_VALUE"""),"František")</f>
        <v>František</v>
      </c>
      <c r="E46" s="98" t="s">
        <v>11</v>
      </c>
      <c r="F46" s="107" t="s">
        <v>3</v>
      </c>
      <c r="G46" s="108">
        <f>_xlfn.IFERROR(__xludf.DUMMYFUNCTION("""COMPUTED_VALUE"""),1979)</f>
        <v>1979</v>
      </c>
      <c r="H46" s="106" t="str">
        <f>_xlfn.IFERROR(__xludf.DUMMYFUNCTION("""COMPUTED_VALUE"""),"MARAS team")</f>
        <v>MARAS team</v>
      </c>
      <c r="I46" s="102" t="str">
        <f t="shared" si="1"/>
        <v>B</v>
      </c>
      <c r="J46" s="102">
        <f>COUNTIF(I$6:I46,I46)</f>
        <v>2</v>
      </c>
      <c r="K46" s="103">
        <v>0.02539351851851852</v>
      </c>
    </row>
    <row r="47" spans="1:11" s="127" customFormat="1" ht="15" customHeight="1">
      <c r="A47" s="116">
        <v>3</v>
      </c>
      <c r="B47" s="117">
        <v>51</v>
      </c>
      <c r="C47" s="128" t="str">
        <f>_xlfn.IFERROR(__xludf.DUMMYFUNCTION("""COMPUTED_VALUE"""),"SIVUĽKA")</f>
        <v>SIVUĽKA</v>
      </c>
      <c r="D47" s="129" t="str">
        <f>_xlfn.IFERROR(__xludf.DUMMYFUNCTION("""COMPUTED_VALUE"""),"Martin")</f>
        <v>Martin</v>
      </c>
      <c r="E47" s="120" t="s">
        <v>11</v>
      </c>
      <c r="F47" s="130" t="s">
        <v>3</v>
      </c>
      <c r="G47" s="131">
        <f>_xlfn.IFERROR(__xludf.DUMMYFUNCTION("""COMPUTED_VALUE"""),1979)</f>
        <v>1979</v>
      </c>
      <c r="H47" s="132" t="str">
        <f>_xlfn.IFERROR(__xludf.DUMMYFUNCTION("""COMPUTED_VALUE"""),"MARAS team")</f>
        <v>MARAS team</v>
      </c>
      <c r="I47" s="124" t="str">
        <f t="shared" si="1"/>
        <v>B</v>
      </c>
      <c r="J47" s="125">
        <f>COUNTIF(I$6:I47,I47)</f>
        <v>3</v>
      </c>
      <c r="K47" s="126">
        <v>0.026053240740740738</v>
      </c>
    </row>
    <row r="48" spans="1:11" ht="15" customHeight="1">
      <c r="A48" s="5">
        <v>4</v>
      </c>
      <c r="B48" s="13">
        <v>86</v>
      </c>
      <c r="C48" s="46" t="str">
        <f>_xlfn.IFERROR(__xludf.DUMMYFUNCTION("""COMPUTED_VALUE"""),"BARTKO")</f>
        <v>BARTKO</v>
      </c>
      <c r="D48" s="41" t="str">
        <f>_xlfn.IFERROR(__xludf.DUMMYFUNCTION("""COMPUTED_VALUE"""),"Martin")</f>
        <v>Martin</v>
      </c>
      <c r="E48" s="7" t="s">
        <v>11</v>
      </c>
      <c r="F48" s="31" t="s">
        <v>3</v>
      </c>
      <c r="G48" s="26">
        <f>_xlfn.IFERROR(__xludf.DUMMYFUNCTION("""COMPUTED_VALUE"""),1976)</f>
        <v>1976</v>
      </c>
      <c r="H48" s="37" t="str">
        <f>_xlfn.IFERROR(__xludf.DUMMYFUNCTION("""COMPUTED_VALUE"""),"NW Running Prešov ")</f>
        <v>NW Running Prešov </v>
      </c>
      <c r="I48" s="14" t="str">
        <f t="shared" si="1"/>
        <v>B</v>
      </c>
      <c r="J48" s="12">
        <f>COUNTIF(I$6:I48,I48)</f>
        <v>4</v>
      </c>
      <c r="K48" s="50">
        <v>0.026099537037037036</v>
      </c>
    </row>
    <row r="49" spans="1:11" ht="15" customHeight="1">
      <c r="A49" s="10">
        <v>5</v>
      </c>
      <c r="B49" s="13">
        <v>83</v>
      </c>
      <c r="C49" s="45" t="str">
        <f>_xlfn.IFERROR(__xludf.DUMMYFUNCTION("""COMPUTED_VALUE"""),"KLUS")</f>
        <v>KLUS</v>
      </c>
      <c r="D49" s="40" t="str">
        <f>_xlfn.IFERROR(__xludf.DUMMYFUNCTION("""COMPUTED_VALUE"""),"Marek")</f>
        <v>Marek</v>
      </c>
      <c r="E49" s="7" t="s">
        <v>11</v>
      </c>
      <c r="F49" s="32" t="s">
        <v>3</v>
      </c>
      <c r="G49" s="27">
        <f>_xlfn.IFERROR(__xludf.DUMMYFUNCTION("""COMPUTED_VALUE"""),1976)</f>
        <v>1976</v>
      </c>
      <c r="H49" s="38" t="str">
        <f>_xlfn.IFERROR(__xludf.DUMMYFUNCTION("""COMPUTED_VALUE"""),"Prešov")</f>
        <v>Prešov</v>
      </c>
      <c r="I49" s="14" t="str">
        <f t="shared" si="1"/>
        <v>B</v>
      </c>
      <c r="J49" s="12">
        <f>COUNTIF(I$6:I49,I49)</f>
        <v>5</v>
      </c>
      <c r="K49" s="50">
        <v>0.02710648148148148</v>
      </c>
    </row>
    <row r="50" spans="1:11" ht="15" customHeight="1">
      <c r="A50" s="5">
        <v>6</v>
      </c>
      <c r="B50" s="13">
        <v>4</v>
      </c>
      <c r="C50" s="45" t="str">
        <f>_xlfn.IFERROR(__xludf.DUMMYFUNCTION("""COMPUTED_VALUE"""),"TRAMITA")</f>
        <v>TRAMITA</v>
      </c>
      <c r="D50" s="40" t="str">
        <f>_xlfn.IFERROR(__xludf.DUMMYFUNCTION("""COMPUTED_VALUE"""),"Slavomír")</f>
        <v>Slavomír</v>
      </c>
      <c r="E50" s="7" t="s">
        <v>11</v>
      </c>
      <c r="F50" s="32" t="s">
        <v>3</v>
      </c>
      <c r="G50" s="27">
        <f>_xlfn.IFERROR(__xludf.DUMMYFUNCTION("""COMPUTED_VALUE"""),1978)</f>
        <v>1978</v>
      </c>
      <c r="H50" s="38" t="str">
        <f>_xlfn.IFERROR(__xludf.DUMMYFUNCTION("""COMPUTED_VALUE"""),"STG Prešov")</f>
        <v>STG Prešov</v>
      </c>
      <c r="I50" s="14" t="str">
        <f t="shared" si="1"/>
        <v>B</v>
      </c>
      <c r="J50" s="12">
        <f>COUNTIF(I$6:I50,I50)</f>
        <v>6</v>
      </c>
      <c r="K50" s="50">
        <v>0.027395833333333338</v>
      </c>
    </row>
    <row r="51" spans="1:11" ht="15" customHeight="1">
      <c r="A51" s="10">
        <v>7</v>
      </c>
      <c r="B51" s="13">
        <v>75</v>
      </c>
      <c r="C51" s="44" t="s">
        <v>78</v>
      </c>
      <c r="D51" s="42" t="s">
        <v>79</v>
      </c>
      <c r="E51" s="7" t="s">
        <v>11</v>
      </c>
      <c r="F51" s="13" t="s">
        <v>3</v>
      </c>
      <c r="G51" s="28">
        <v>1980</v>
      </c>
      <c r="H51" s="39" t="s">
        <v>77</v>
      </c>
      <c r="I51" s="14" t="str">
        <f t="shared" si="1"/>
        <v>B</v>
      </c>
      <c r="J51" s="12">
        <f>COUNTIF(I$6:I51,I51)</f>
        <v>7</v>
      </c>
      <c r="K51" s="50">
        <v>0.027476851851851853</v>
      </c>
    </row>
    <row r="52" spans="1:11" ht="15" customHeight="1">
      <c r="A52" s="5">
        <v>8</v>
      </c>
      <c r="B52" s="13">
        <v>10</v>
      </c>
      <c r="C52" s="44" t="s">
        <v>37</v>
      </c>
      <c r="D52" s="42" t="s">
        <v>38</v>
      </c>
      <c r="E52" s="7" t="s">
        <v>11</v>
      </c>
      <c r="F52" s="13" t="s">
        <v>3</v>
      </c>
      <c r="G52" s="28">
        <v>1976</v>
      </c>
      <c r="H52" s="39" t="s">
        <v>39</v>
      </c>
      <c r="I52" s="14" t="str">
        <f t="shared" si="1"/>
        <v>B</v>
      </c>
      <c r="J52" s="12">
        <f>COUNTIF(I$6:I52,I52)</f>
        <v>8</v>
      </c>
      <c r="K52" s="50">
        <v>0.02766203703703704</v>
      </c>
    </row>
    <row r="53" spans="1:11" ht="15" customHeight="1">
      <c r="A53" s="10">
        <v>9</v>
      </c>
      <c r="B53" s="13">
        <v>67</v>
      </c>
      <c r="C53" s="44" t="s">
        <v>71</v>
      </c>
      <c r="D53" s="42" t="s">
        <v>72</v>
      </c>
      <c r="E53" s="7" t="s">
        <v>11</v>
      </c>
      <c r="F53" s="13" t="s">
        <v>3</v>
      </c>
      <c r="G53" s="28">
        <v>1977</v>
      </c>
      <c r="H53" s="39" t="s">
        <v>73</v>
      </c>
      <c r="I53" s="14" t="str">
        <f t="shared" si="1"/>
        <v>B</v>
      </c>
      <c r="J53" s="12">
        <f>COUNTIF(I$6:I53,I53)</f>
        <v>9</v>
      </c>
      <c r="K53" s="50">
        <v>0.028449074074074075</v>
      </c>
    </row>
    <row r="54" spans="1:11" ht="15" customHeight="1">
      <c r="A54" s="5">
        <v>10</v>
      </c>
      <c r="B54" s="13">
        <v>40</v>
      </c>
      <c r="C54" s="45" t="str">
        <f>_xlfn.IFERROR(__xludf.DUMMYFUNCTION("""COMPUTED_VALUE"""),"MICHALČIN")</f>
        <v>MICHALČIN</v>
      </c>
      <c r="D54" s="40" t="str">
        <f>_xlfn.IFERROR(__xludf.DUMMYFUNCTION("""COMPUTED_VALUE"""),"Sergej")</f>
        <v>Sergej</v>
      </c>
      <c r="E54" s="7" t="s">
        <v>11</v>
      </c>
      <c r="F54" s="32" t="s">
        <v>3</v>
      </c>
      <c r="G54" s="27">
        <f>_xlfn.IFERROR(__xludf.DUMMYFUNCTION("""COMPUTED_VALUE"""),1978)</f>
        <v>1978</v>
      </c>
      <c r="H54" s="38" t="str">
        <f>_xlfn.IFERROR(__xludf.DUMMYFUNCTION("""COMPUTED_VALUE"""),"Teriakovce ")</f>
        <v>Teriakovce </v>
      </c>
      <c r="I54" s="14" t="str">
        <f t="shared" si="1"/>
        <v>B</v>
      </c>
      <c r="J54" s="12">
        <f>COUNTIF(I$6:I54,I54)</f>
        <v>10</v>
      </c>
      <c r="K54" s="50">
        <v>0.02989583333333333</v>
      </c>
    </row>
    <row r="55" spans="1:11" ht="15" customHeight="1">
      <c r="A55" s="10">
        <v>11</v>
      </c>
      <c r="B55" s="13">
        <v>23</v>
      </c>
      <c r="C55" s="44" t="s">
        <v>49</v>
      </c>
      <c r="D55" s="42" t="s">
        <v>35</v>
      </c>
      <c r="E55" s="7" t="s">
        <v>11</v>
      </c>
      <c r="F55" s="13" t="s">
        <v>3</v>
      </c>
      <c r="G55" s="28">
        <v>1979</v>
      </c>
      <c r="H55" s="39" t="s">
        <v>26</v>
      </c>
      <c r="I55" s="14" t="str">
        <f t="shared" si="1"/>
        <v>B</v>
      </c>
      <c r="J55" s="12">
        <f>COUNTIF(I$6:I55,I55)</f>
        <v>11</v>
      </c>
      <c r="K55" s="50">
        <v>0.03043981481481482</v>
      </c>
    </row>
    <row r="56" spans="1:11" ht="15" customHeight="1">
      <c r="A56" s="5">
        <v>12</v>
      </c>
      <c r="B56" s="13">
        <v>7</v>
      </c>
      <c r="C56" s="44" t="s">
        <v>34</v>
      </c>
      <c r="D56" s="42" t="s">
        <v>35</v>
      </c>
      <c r="E56" s="7" t="s">
        <v>11</v>
      </c>
      <c r="F56" s="13" t="s">
        <v>3</v>
      </c>
      <c r="G56" s="28">
        <v>1977</v>
      </c>
      <c r="H56" s="39" t="s">
        <v>36</v>
      </c>
      <c r="I56" s="14" t="str">
        <f t="shared" si="1"/>
        <v>B</v>
      </c>
      <c r="J56" s="12">
        <f>COUNTIF(I$6:I56,I56)</f>
        <v>12</v>
      </c>
      <c r="K56" s="50">
        <v>0.030462962962962966</v>
      </c>
    </row>
    <row r="57" spans="1:11" ht="15" customHeight="1">
      <c r="A57" s="10">
        <v>13</v>
      </c>
      <c r="B57" s="13">
        <v>123</v>
      </c>
      <c r="C57" s="44" t="s">
        <v>24</v>
      </c>
      <c r="D57" s="42" t="s">
        <v>25</v>
      </c>
      <c r="E57" s="7" t="s">
        <v>11</v>
      </c>
      <c r="F57" s="13" t="s">
        <v>3</v>
      </c>
      <c r="G57" s="28">
        <v>1979</v>
      </c>
      <c r="H57" s="39" t="s">
        <v>26</v>
      </c>
      <c r="I57" s="14" t="str">
        <f t="shared" si="1"/>
        <v>B</v>
      </c>
      <c r="J57" s="12">
        <f>COUNTIF(I$6:I57,I57)</f>
        <v>13</v>
      </c>
      <c r="K57" s="50">
        <v>0.03175925925925926</v>
      </c>
    </row>
    <row r="58" spans="1:11" ht="15" customHeight="1">
      <c r="A58" s="5">
        <v>14</v>
      </c>
      <c r="B58" s="13">
        <v>129</v>
      </c>
      <c r="C58" s="46" t="str">
        <f>_xlfn.IFERROR(__xludf.DUMMYFUNCTION("""COMPUTED_VALUE"""),"POGÁNY")</f>
        <v>POGÁNY</v>
      </c>
      <c r="D58" s="41" t="str">
        <f>_xlfn.IFERROR(__xludf.DUMMYFUNCTION("""COMPUTED_VALUE"""),"Branko")</f>
        <v>Branko</v>
      </c>
      <c r="E58" s="7" t="s">
        <v>11</v>
      </c>
      <c r="F58" s="31" t="s">
        <v>3</v>
      </c>
      <c r="G58" s="26">
        <f>_xlfn.IFERROR(__xludf.DUMMYFUNCTION("""COMPUTED_VALUE"""),1978)</f>
        <v>1978</v>
      </c>
      <c r="H58" s="37" t="str">
        <f>_xlfn.IFERROR(__xludf.DUMMYFUNCTION("""COMPUTED_VALUE"""),"Active Life Košice")</f>
        <v>Active Life Košice</v>
      </c>
      <c r="I58" s="14" t="str">
        <f t="shared" si="1"/>
        <v>B</v>
      </c>
      <c r="J58" s="12">
        <f>COUNTIF(I$6:I58,I58)</f>
        <v>14</v>
      </c>
      <c r="K58" s="50">
        <v>0.034930555555555555</v>
      </c>
    </row>
    <row r="59" spans="1:11" ht="15" customHeight="1">
      <c r="A59" s="10">
        <v>15</v>
      </c>
      <c r="B59" s="13">
        <v>107</v>
      </c>
      <c r="C59" s="45" t="str">
        <f>_xlfn.IFERROR(__xludf.DUMMYFUNCTION("""COMPUTED_VALUE"""),"KOBULSKÝ")</f>
        <v>KOBULSKÝ</v>
      </c>
      <c r="D59" s="40" t="str">
        <f>_xlfn.IFERROR(__xludf.DUMMYFUNCTION("""COMPUTED_VALUE"""),"Juraj")</f>
        <v>Juraj</v>
      </c>
      <c r="E59" s="7" t="s">
        <v>11</v>
      </c>
      <c r="F59" s="32" t="s">
        <v>3</v>
      </c>
      <c r="G59" s="27">
        <f>_xlfn.IFERROR(__xludf.DUMMYFUNCTION("""COMPUTED_VALUE"""),1971)</f>
        <v>1971</v>
      </c>
      <c r="H59" s="38" t="str">
        <f>_xlfn.IFERROR(__xludf.DUMMYFUNCTION("""COMPUTED_VALUE"""),"Prešov")</f>
        <v>Prešov</v>
      </c>
      <c r="I59" s="14" t="str">
        <f t="shared" si="1"/>
        <v>B</v>
      </c>
      <c r="J59" s="12">
        <f>COUNTIF(I$6:I59,I59)</f>
        <v>15</v>
      </c>
      <c r="K59" s="50">
        <v>0.035833333333333335</v>
      </c>
    </row>
    <row r="60" spans="1:11" ht="15" customHeight="1">
      <c r="A60" s="5">
        <v>16</v>
      </c>
      <c r="B60" s="13">
        <v>79</v>
      </c>
      <c r="C60" s="45" t="str">
        <f>_xlfn.IFERROR(__xludf.DUMMYFUNCTION("""COMPUTED_VALUE"""),"ULIČNÝ")</f>
        <v>ULIČNÝ</v>
      </c>
      <c r="D60" s="40" t="str">
        <f>_xlfn.IFERROR(__xludf.DUMMYFUNCTION("""COMPUTED_VALUE"""),"Pavol")</f>
        <v>Pavol</v>
      </c>
      <c r="E60" s="7" t="s">
        <v>11</v>
      </c>
      <c r="F60" s="32" t="s">
        <v>3</v>
      </c>
      <c r="G60" s="27">
        <f>_xlfn.IFERROR(__xludf.DUMMYFUNCTION("""COMPUTED_VALUE"""),1976)</f>
        <v>1976</v>
      </c>
      <c r="H60" s="38" t="str">
        <f>_xlfn.IFERROR(__xludf.DUMMYFUNCTION("""COMPUTED_VALUE"""),"MARAS team")</f>
        <v>MARAS team</v>
      </c>
      <c r="I60" s="14" t="str">
        <f t="shared" si="1"/>
        <v>B</v>
      </c>
      <c r="J60" s="12">
        <f>COUNTIF(I$6:I60,I60)</f>
        <v>16</v>
      </c>
      <c r="K60" s="50">
        <v>0.043750000000000004</v>
      </c>
    </row>
    <row r="61" spans="1:11" ht="15" customHeight="1">
      <c r="A61" s="5">
        <v>17</v>
      </c>
      <c r="B61" s="13">
        <v>136</v>
      </c>
      <c r="C61" s="35" t="str">
        <f>_xlfn.IFERROR(__xludf.DUMMYFUNCTION("""COMPUTED_VALUE"""),"BENKO")</f>
        <v>BENKO</v>
      </c>
      <c r="D61" s="41" t="str">
        <f>_xlfn.IFERROR(__xludf.DUMMYFUNCTION("""COMPUTED_VALUE"""),"Ján")</f>
        <v>Ján</v>
      </c>
      <c r="E61" s="7" t="s">
        <v>11</v>
      </c>
      <c r="F61" s="31" t="s">
        <v>3</v>
      </c>
      <c r="G61" s="26">
        <f>_xlfn.IFERROR(__xludf.DUMMYFUNCTION("""COMPUTED_VALUE"""),1980)</f>
        <v>1980</v>
      </c>
      <c r="H61" s="41" t="str">
        <f>_xlfn.IFERROR(__xludf.DUMMYFUNCTION("""COMPUTED_VALUE"""),"Prešov")</f>
        <v>Prešov</v>
      </c>
      <c r="I61" s="12" t="str">
        <f t="shared" si="1"/>
        <v>B</v>
      </c>
      <c r="J61" s="12">
        <f>COUNTIF(I$6:I61,I61)</f>
        <v>17</v>
      </c>
      <c r="K61" s="50" t="s">
        <v>122</v>
      </c>
    </row>
    <row r="62" spans="1:11" s="3" customFormat="1" ht="28.5" customHeight="1">
      <c r="A62" s="169" t="s">
        <v>102</v>
      </c>
      <c r="B62" s="8"/>
      <c r="C62" s="146"/>
      <c r="D62" s="147"/>
      <c r="E62" s="140"/>
      <c r="F62" s="148"/>
      <c r="G62" s="149"/>
      <c r="H62" s="147"/>
      <c r="I62" s="15"/>
      <c r="J62" s="15"/>
      <c r="K62" s="143"/>
    </row>
    <row r="63" spans="1:11" s="74" customFormat="1" ht="15" customHeight="1">
      <c r="A63" s="82">
        <v>1</v>
      </c>
      <c r="B63" s="75">
        <v>53</v>
      </c>
      <c r="C63" s="144" t="s">
        <v>62</v>
      </c>
      <c r="D63" s="77" t="s">
        <v>63</v>
      </c>
      <c r="E63" s="78" t="s">
        <v>11</v>
      </c>
      <c r="F63" s="75" t="s">
        <v>3</v>
      </c>
      <c r="G63" s="79">
        <v>1966</v>
      </c>
      <c r="H63" s="77" t="s">
        <v>64</v>
      </c>
      <c r="I63" s="81" t="str">
        <f aca="true" t="shared" si="2" ref="I63:I80">IF(F63="m",IF($G$1-$G63&lt;=17,"JM",IF($G$1-$G63&lt;=39,"A",IF($G$1-$G63&lt;=49,"B",IF($G$1-$G63&lt;=59,"C",IF($G$1-$G63&lt;=69,"D","E"))))),IF($G$1-$G63&lt;=17,"JŽ",IF($G$1-$G63&lt;=39,"F",IF($G$1-$G63&lt;=49,"G",IF($G$1-$G63&lt;=59,"H","I")))))</f>
        <v>C</v>
      </c>
      <c r="J63" s="81">
        <f>COUNTIF(I$6:I63,I63)</f>
        <v>1</v>
      </c>
      <c r="K63" s="73">
        <v>0.022858796296296294</v>
      </c>
    </row>
    <row r="64" spans="1:11" s="104" customFormat="1" ht="15" customHeight="1">
      <c r="A64" s="94">
        <v>2</v>
      </c>
      <c r="B64" s="95">
        <v>113</v>
      </c>
      <c r="C64" s="150" t="s">
        <v>97</v>
      </c>
      <c r="D64" s="97" t="s">
        <v>47</v>
      </c>
      <c r="E64" s="98" t="s">
        <v>11</v>
      </c>
      <c r="F64" s="95" t="s">
        <v>3</v>
      </c>
      <c r="G64" s="99">
        <v>1965</v>
      </c>
      <c r="H64" s="97" t="s">
        <v>96</v>
      </c>
      <c r="I64" s="102" t="str">
        <f t="shared" si="2"/>
        <v>C</v>
      </c>
      <c r="J64" s="102">
        <f>COUNTIF(I$6:I64,I64)</f>
        <v>2</v>
      </c>
      <c r="K64" s="103">
        <v>0.023067129629629632</v>
      </c>
    </row>
    <row r="65" spans="1:11" s="127" customFormat="1" ht="15" customHeight="1">
      <c r="A65" s="133">
        <v>3</v>
      </c>
      <c r="B65" s="117">
        <v>1</v>
      </c>
      <c r="C65" s="151" t="s">
        <v>54</v>
      </c>
      <c r="D65" s="135" t="s">
        <v>55</v>
      </c>
      <c r="E65" s="120" t="s">
        <v>11</v>
      </c>
      <c r="F65" s="117" t="s">
        <v>3</v>
      </c>
      <c r="G65" s="136">
        <v>1965</v>
      </c>
      <c r="H65" s="135" t="s">
        <v>31</v>
      </c>
      <c r="I65" s="125" t="str">
        <f t="shared" si="2"/>
        <v>C</v>
      </c>
      <c r="J65" s="125">
        <f>COUNTIF(I$6:I65,I65)</f>
        <v>3</v>
      </c>
      <c r="K65" s="126">
        <v>0.024537037037037038</v>
      </c>
    </row>
    <row r="66" spans="1:11" ht="15" customHeight="1">
      <c r="A66" s="5">
        <v>4</v>
      </c>
      <c r="B66" s="13">
        <v>2</v>
      </c>
      <c r="C66" s="36" t="s">
        <v>32</v>
      </c>
      <c r="D66" s="42" t="s">
        <v>56</v>
      </c>
      <c r="E66" s="7" t="s">
        <v>11</v>
      </c>
      <c r="F66" s="13" t="s">
        <v>3</v>
      </c>
      <c r="G66" s="28">
        <v>1967</v>
      </c>
      <c r="H66" s="42" t="s">
        <v>31</v>
      </c>
      <c r="I66" s="12" t="str">
        <f t="shared" si="2"/>
        <v>C</v>
      </c>
      <c r="J66" s="12">
        <f>COUNTIF(I$6:I66,I66)</f>
        <v>4</v>
      </c>
      <c r="K66" s="50">
        <v>0.02515046296296296</v>
      </c>
    </row>
    <row r="67" spans="1:11" ht="15" customHeight="1">
      <c r="A67" s="5">
        <v>5</v>
      </c>
      <c r="B67" s="13">
        <v>98</v>
      </c>
      <c r="C67" s="45" t="str">
        <f>_xlfn.IFERROR(__xludf.DUMMYFUNCTION("""COMPUTED_VALUE"""),"FEDOR")</f>
        <v>FEDOR</v>
      </c>
      <c r="D67" s="40" t="str">
        <f>_xlfn.IFERROR(__xludf.DUMMYFUNCTION("""COMPUTED_VALUE"""),"Ondrej")</f>
        <v>Ondrej</v>
      </c>
      <c r="E67" s="7" t="s">
        <v>11</v>
      </c>
      <c r="F67" s="32" t="s">
        <v>3</v>
      </c>
      <c r="G67" s="27">
        <f>_xlfn.IFERROR(__xludf.DUMMYFUNCTION("""COMPUTED_VALUE"""),1969)</f>
        <v>1969</v>
      </c>
      <c r="H67" s="38" t="str">
        <f>_xlfn.IFERROR(__xludf.DUMMYFUNCTION("""COMPUTED_VALUE"""),"3MRsport Prešov")</f>
        <v>3MRsport Prešov</v>
      </c>
      <c r="I67" s="14" t="str">
        <f t="shared" si="2"/>
        <v>C</v>
      </c>
      <c r="J67" s="12">
        <f>COUNTIF(I$6:I67,I67)</f>
        <v>5</v>
      </c>
      <c r="K67" s="50">
        <v>0.02550925925925926</v>
      </c>
    </row>
    <row r="68" spans="1:11" ht="15" customHeight="1">
      <c r="A68" s="10">
        <v>6</v>
      </c>
      <c r="B68" s="13">
        <v>88</v>
      </c>
      <c r="C68" s="45" t="str">
        <f>_xlfn.IFERROR(__xludf.DUMMYFUNCTION("""COMPUTED_VALUE"""),"KALINA")</f>
        <v>KALINA</v>
      </c>
      <c r="D68" s="40" t="str">
        <f>_xlfn.IFERROR(__xludf.DUMMYFUNCTION("""COMPUTED_VALUE"""),"Martin")</f>
        <v>Martin</v>
      </c>
      <c r="E68" s="7" t="s">
        <v>11</v>
      </c>
      <c r="F68" s="32" t="s">
        <v>3</v>
      </c>
      <c r="G68" s="27">
        <f>_xlfn.IFERROR(__xludf.DUMMYFUNCTION("""COMPUTED_VALUE"""),1964)</f>
        <v>1964</v>
      </c>
      <c r="H68" s="38" t="str">
        <f>_xlfn.IFERROR(__xludf.DUMMYFUNCTION("""COMPUTED_VALUE"""),"Iris Prešov")</f>
        <v>Iris Prešov</v>
      </c>
      <c r="I68" s="14" t="str">
        <f t="shared" si="2"/>
        <v>C</v>
      </c>
      <c r="J68" s="12">
        <f>COUNTIF(I$6:I68,I68)</f>
        <v>6</v>
      </c>
      <c r="K68" s="50">
        <v>0.025949074074074072</v>
      </c>
    </row>
    <row r="69" spans="1:11" ht="15" customHeight="1">
      <c r="A69" s="5">
        <v>7</v>
      </c>
      <c r="B69" s="13">
        <v>125</v>
      </c>
      <c r="C69" s="46" t="str">
        <f>_xlfn.IFERROR(__xludf.DUMMYFUNCTION("""COMPUTED_VALUE"""),"TÓTH")</f>
        <v>TÓTH</v>
      </c>
      <c r="D69" s="41" t="str">
        <f>_xlfn.IFERROR(__xludf.DUMMYFUNCTION("""COMPUTED_VALUE"""),"Mikuláš")</f>
        <v>Mikuláš</v>
      </c>
      <c r="E69" s="7" t="s">
        <v>11</v>
      </c>
      <c r="F69" s="31" t="s">
        <v>3</v>
      </c>
      <c r="G69" s="26">
        <f>_xlfn.IFERROR(__xludf.DUMMYFUNCTION("""COMPUTED_VALUE"""),1970)</f>
        <v>1970</v>
      </c>
      <c r="H69" s="37" t="str">
        <f>_xlfn.IFERROR(__xludf.DUMMYFUNCTION("""COMPUTED_VALUE"""),"MBK  Veľké Kapušany")</f>
        <v>MBK  Veľké Kapušany</v>
      </c>
      <c r="I69" s="14" t="str">
        <f t="shared" si="2"/>
        <v>C</v>
      </c>
      <c r="J69" s="12">
        <f>COUNTIF(I$6:I69,I69)</f>
        <v>7</v>
      </c>
      <c r="K69" s="50">
        <v>0.026030092592592594</v>
      </c>
    </row>
    <row r="70" spans="1:11" ht="15" customHeight="1">
      <c r="A70" s="10">
        <v>8</v>
      </c>
      <c r="B70" s="13">
        <v>103</v>
      </c>
      <c r="C70" s="46" t="str">
        <f>_xlfn.IFERROR(__xludf.DUMMYFUNCTION("""COMPUTED_VALUE"""),"COLLINS")</f>
        <v>COLLINS</v>
      </c>
      <c r="D70" s="41" t="str">
        <f>_xlfn.IFERROR(__xludf.DUMMYFUNCTION("""COMPUTED_VALUE"""),"Ben")</f>
        <v>Ben</v>
      </c>
      <c r="E70" s="7" t="s">
        <v>11</v>
      </c>
      <c r="F70" s="31" t="s">
        <v>3</v>
      </c>
      <c r="G70" s="26">
        <f>_xlfn.IFERROR(__xludf.DUMMYFUNCTION("""COMPUTED_VALUE"""),1968)</f>
        <v>1968</v>
      </c>
      <c r="H70" s="37" t="str">
        <f>_xlfn.IFERROR(__xludf.DUMMYFUNCTION("""COMPUTED_VALUE"""),"OBS Prešov")</f>
        <v>OBS Prešov</v>
      </c>
      <c r="I70" s="14" t="str">
        <f t="shared" si="2"/>
        <v>C</v>
      </c>
      <c r="J70" s="12">
        <f>COUNTIF(I$6:I70,I70)</f>
        <v>8</v>
      </c>
      <c r="K70" s="50">
        <v>0.027951388888888887</v>
      </c>
    </row>
    <row r="71" spans="1:11" ht="15" customHeight="1">
      <c r="A71" s="5">
        <v>9</v>
      </c>
      <c r="B71" s="13">
        <v>111</v>
      </c>
      <c r="C71" s="45" t="str">
        <f>_xlfn.IFERROR(__xludf.DUMMYFUNCTION("""COMPUTED_VALUE"""),"KOMÁR")</f>
        <v>KOMÁR</v>
      </c>
      <c r="D71" s="40" t="str">
        <f>_xlfn.IFERROR(__xludf.DUMMYFUNCTION("""COMPUTED_VALUE"""),"Pavol")</f>
        <v>Pavol</v>
      </c>
      <c r="E71" s="7" t="s">
        <v>11</v>
      </c>
      <c r="F71" s="32" t="s">
        <v>3</v>
      </c>
      <c r="G71" s="27">
        <f>_xlfn.IFERROR(__xludf.DUMMYFUNCTION("""COMPUTED_VALUE"""),1965)</f>
        <v>1965</v>
      </c>
      <c r="H71" s="38" t="str">
        <f>_xlfn.IFERROR(__xludf.DUMMYFUNCTION("""COMPUTED_VALUE"""),"MARAS team")</f>
        <v>MARAS team</v>
      </c>
      <c r="I71" s="14" t="str">
        <f t="shared" si="2"/>
        <v>C</v>
      </c>
      <c r="J71" s="12">
        <f>COUNTIF(I$6:I71,I71)</f>
        <v>9</v>
      </c>
      <c r="K71" s="50">
        <v>0.028391203703703707</v>
      </c>
    </row>
    <row r="72" spans="1:11" ht="15" customHeight="1">
      <c r="A72" s="10">
        <v>10</v>
      </c>
      <c r="B72" s="13">
        <v>96</v>
      </c>
      <c r="C72" s="46" t="str">
        <f>_xlfn.IFERROR(__xludf.DUMMYFUNCTION("""COMPUTED_VALUE"""),"HORVÁTH")</f>
        <v>HORVÁTH</v>
      </c>
      <c r="D72" s="41" t="str">
        <f>_xlfn.IFERROR(__xludf.DUMMYFUNCTION("""COMPUTED_VALUE"""),"Peter")</f>
        <v>Peter</v>
      </c>
      <c r="E72" s="7" t="s">
        <v>11</v>
      </c>
      <c r="F72" s="31" t="s">
        <v>3</v>
      </c>
      <c r="G72" s="26">
        <f>_xlfn.IFERROR(__xludf.DUMMYFUNCTION("""COMPUTED_VALUE"""),1968)</f>
        <v>1968</v>
      </c>
      <c r="H72" s="37" t="str">
        <f>_xlfn.IFERROR(__xludf.DUMMYFUNCTION("""COMPUTED_VALUE"""),"BeHoNe Prešov")</f>
        <v>BeHoNe Prešov</v>
      </c>
      <c r="I72" s="14" t="str">
        <f t="shared" si="2"/>
        <v>C</v>
      </c>
      <c r="J72" s="12">
        <f>COUNTIF(I$6:I72,I72)</f>
        <v>10</v>
      </c>
      <c r="K72" s="50">
        <v>0.028599537037037034</v>
      </c>
    </row>
    <row r="73" spans="1:11" ht="15" customHeight="1">
      <c r="A73" s="5">
        <v>11</v>
      </c>
      <c r="B73" s="13">
        <v>102</v>
      </c>
      <c r="C73" s="45" t="str">
        <f>_xlfn.IFERROR(__xludf.DUMMYFUNCTION("""COMPUTED_VALUE"""),"GRESTY")</f>
        <v>GRESTY</v>
      </c>
      <c r="D73" s="40" t="str">
        <f>_xlfn.IFERROR(__xludf.DUMMYFUNCTION("""COMPUTED_VALUE"""),"Jonathan")</f>
        <v>Jonathan</v>
      </c>
      <c r="E73" s="7" t="s">
        <v>11</v>
      </c>
      <c r="F73" s="32" t="s">
        <v>3</v>
      </c>
      <c r="G73" s="27">
        <f>_xlfn.IFERROR(__xludf.DUMMYFUNCTION("""COMPUTED_VALUE"""),1965)</f>
        <v>1965</v>
      </c>
      <c r="H73" s="38" t="str">
        <f>_xlfn.IFERROR(__xludf.DUMMYFUNCTION("""COMPUTED_VALUE"""),"OBS Prešov")</f>
        <v>OBS Prešov</v>
      </c>
      <c r="I73" s="14" t="str">
        <f t="shared" si="2"/>
        <v>C</v>
      </c>
      <c r="J73" s="12">
        <f>COUNTIF(I$6:I73,I73)</f>
        <v>11</v>
      </c>
      <c r="K73" s="50">
        <v>0.029027777777777777</v>
      </c>
    </row>
    <row r="74" spans="1:11" ht="15" customHeight="1">
      <c r="A74" s="10">
        <v>12</v>
      </c>
      <c r="B74" s="13">
        <v>127</v>
      </c>
      <c r="C74" s="46" t="str">
        <f>_xlfn.IFERROR(__xludf.DUMMYFUNCTION("""COMPUTED_VALUE"""),"PUŠKÁRIK")</f>
        <v>PUŠKÁRIK</v>
      </c>
      <c r="D74" s="41" t="str">
        <f>_xlfn.IFERROR(__xludf.DUMMYFUNCTION("""COMPUTED_VALUE"""),"Benjamin")</f>
        <v>Benjamin</v>
      </c>
      <c r="E74" s="7" t="s">
        <v>11</v>
      </c>
      <c r="F74" s="31" t="s">
        <v>3</v>
      </c>
      <c r="G74" s="26">
        <f>_xlfn.IFERROR(__xludf.DUMMYFUNCTION("""COMPUTED_VALUE"""),1965)</f>
        <v>1965</v>
      </c>
      <c r="H74" s="37" t="str">
        <f>_xlfn.IFERROR(__xludf.DUMMYFUNCTION("""COMPUTED_VALUE"""),"MBK Veľké Kapušany")</f>
        <v>MBK Veľké Kapušany</v>
      </c>
      <c r="I74" s="14" t="str">
        <f t="shared" si="2"/>
        <v>C</v>
      </c>
      <c r="J74" s="12">
        <f>COUNTIF(I$6:I74,I74)</f>
        <v>12</v>
      </c>
      <c r="K74" s="50">
        <v>0.030381944444444444</v>
      </c>
    </row>
    <row r="75" spans="1:11" ht="15" customHeight="1">
      <c r="A75" s="5">
        <v>13</v>
      </c>
      <c r="B75" s="13">
        <v>13</v>
      </c>
      <c r="C75" s="45" t="str">
        <f>_xlfn.IFERROR(__xludf.DUMMYFUNCTION("""COMPUTED_VALUE"""),"MAJERNÍK")</f>
        <v>MAJERNÍK</v>
      </c>
      <c r="D75" s="40" t="str">
        <f>_xlfn.IFERROR(__xludf.DUMMYFUNCTION("""COMPUTED_VALUE"""),"Milan")</f>
        <v>Milan</v>
      </c>
      <c r="E75" s="7" t="s">
        <v>11</v>
      </c>
      <c r="F75" s="32" t="s">
        <v>3</v>
      </c>
      <c r="G75" s="27">
        <f>_xlfn.IFERROR(__xludf.DUMMYFUNCTION("""COMPUTED_VALUE"""),1970)</f>
        <v>1970</v>
      </c>
      <c r="H75" s="38" t="str">
        <f>_xlfn.IFERROR(__xludf.DUMMYFUNCTION("""COMPUTED_VALUE"""),"MARAS team ")</f>
        <v>MARAS team </v>
      </c>
      <c r="I75" s="14" t="str">
        <f t="shared" si="2"/>
        <v>C</v>
      </c>
      <c r="J75" s="12">
        <f>COUNTIF(I$6:I75,I75)</f>
        <v>13</v>
      </c>
      <c r="K75" s="50">
        <v>0.03108796296296296</v>
      </c>
    </row>
    <row r="76" spans="1:11" ht="15" customHeight="1">
      <c r="A76" s="10">
        <v>14</v>
      </c>
      <c r="B76" s="13">
        <v>38</v>
      </c>
      <c r="C76" s="46" t="str">
        <f>_xlfn.IFERROR(__xludf.DUMMYFUNCTION("""COMPUTED_VALUE"""),"MIČO")</f>
        <v>MIČO</v>
      </c>
      <c r="D76" s="41" t="str">
        <f>_xlfn.IFERROR(__xludf.DUMMYFUNCTION("""COMPUTED_VALUE"""),"Martin")</f>
        <v>Martin</v>
      </c>
      <c r="E76" s="7" t="s">
        <v>11</v>
      </c>
      <c r="F76" s="31" t="s">
        <v>3</v>
      </c>
      <c r="G76" s="26">
        <f>_xlfn.IFERROR(__xludf.DUMMYFUNCTION("""COMPUTED_VALUE"""),1970)</f>
        <v>1970</v>
      </c>
      <c r="H76" s="37" t="str">
        <f>_xlfn.IFERROR(__xludf.DUMMYFUNCTION("""COMPUTED_VALUE"""),"Prešov ")</f>
        <v>Prešov </v>
      </c>
      <c r="I76" s="14" t="str">
        <f t="shared" si="2"/>
        <v>C</v>
      </c>
      <c r="J76" s="12">
        <f>COUNTIF(I$6:I76,I76)</f>
        <v>14</v>
      </c>
      <c r="K76" s="50">
        <v>0.03170138888888889</v>
      </c>
    </row>
    <row r="77" spans="1:11" ht="15" customHeight="1">
      <c r="A77" s="5">
        <v>15</v>
      </c>
      <c r="B77" s="13">
        <v>99</v>
      </c>
      <c r="C77" s="46" t="str">
        <f>_xlfn.IFERROR(__xludf.DUMMYFUNCTION("""COMPUTED_VALUE"""),"RUSINKO")</f>
        <v>RUSINKO</v>
      </c>
      <c r="D77" s="41" t="str">
        <f>_xlfn.IFERROR(__xludf.DUMMYFUNCTION("""COMPUTED_VALUE"""),"Miroslav")</f>
        <v>Miroslav</v>
      </c>
      <c r="E77" s="7" t="s">
        <v>11</v>
      </c>
      <c r="F77" s="31" t="s">
        <v>3</v>
      </c>
      <c r="G77" s="26">
        <f>_xlfn.IFERROR(__xludf.DUMMYFUNCTION("""COMPUTED_VALUE"""),1967)</f>
        <v>1967</v>
      </c>
      <c r="H77" s="37" t="str">
        <f>_xlfn.IFERROR(__xludf.DUMMYFUNCTION("""COMPUTED_VALUE"""),"MARAS team")</f>
        <v>MARAS team</v>
      </c>
      <c r="I77" s="14" t="str">
        <f t="shared" si="2"/>
        <v>C</v>
      </c>
      <c r="J77" s="12">
        <f>COUNTIF(I$6:I77,I77)</f>
        <v>15</v>
      </c>
      <c r="K77" s="50">
        <v>0.034826388888888886</v>
      </c>
    </row>
    <row r="78" spans="1:11" ht="15" customHeight="1">
      <c r="A78" s="10">
        <v>16</v>
      </c>
      <c r="B78" s="13">
        <v>73</v>
      </c>
      <c r="C78" s="46" t="str">
        <f>_xlfn.IFERROR(__xludf.DUMMYFUNCTION("""COMPUTED_VALUE"""),"GRÁC")</f>
        <v>GRÁC</v>
      </c>
      <c r="D78" s="41" t="s">
        <v>19</v>
      </c>
      <c r="E78" s="7" t="s">
        <v>11</v>
      </c>
      <c r="F78" s="31" t="s">
        <v>3</v>
      </c>
      <c r="G78" s="26">
        <f>_xlfn.IFERROR(__xludf.DUMMYFUNCTION("""COMPUTED_VALUE"""),1964)</f>
        <v>1964</v>
      </c>
      <c r="H78" s="37" t="str">
        <f>_xlfn.IFERROR(__xludf.DUMMYFUNCTION("""COMPUTED_VALUE"""),"Poproč ")</f>
        <v>Poproč </v>
      </c>
      <c r="I78" s="14" t="str">
        <f t="shared" si="2"/>
        <v>C</v>
      </c>
      <c r="J78" s="12">
        <f>COUNTIF(I$6:I78,I78)</f>
        <v>16</v>
      </c>
      <c r="K78" s="50">
        <v>0.03556712962962963</v>
      </c>
    </row>
    <row r="79" spans="1:11" ht="15" customHeight="1">
      <c r="A79" s="5">
        <v>17</v>
      </c>
      <c r="B79" s="13">
        <v>68</v>
      </c>
      <c r="C79" s="45" t="str">
        <f>_xlfn.IFERROR(__xludf.DUMMYFUNCTION("""COMPUTED_VALUE"""),"ZUBAL")</f>
        <v>ZUBAL</v>
      </c>
      <c r="D79" s="40" t="str">
        <f>_xlfn.IFERROR(__xludf.DUMMYFUNCTION("""COMPUTED_VALUE"""),"Pavol")</f>
        <v>Pavol</v>
      </c>
      <c r="E79" s="7" t="s">
        <v>11</v>
      </c>
      <c r="F79" s="32" t="s">
        <v>3</v>
      </c>
      <c r="G79" s="27">
        <f>_xlfn.IFERROR(__xludf.DUMMYFUNCTION("""COMPUTED_VALUE"""),1962)</f>
        <v>1962</v>
      </c>
      <c r="H79" s="38" t="str">
        <f>_xlfn.IFERROR(__xludf.DUMMYFUNCTION("""COMPUTED_VALUE"""),"MARAS team")</f>
        <v>MARAS team</v>
      </c>
      <c r="I79" s="14" t="str">
        <f t="shared" si="2"/>
        <v>C</v>
      </c>
      <c r="J79" s="12">
        <f>COUNTIF(I$6:I79,I79)</f>
        <v>17</v>
      </c>
      <c r="K79" s="50">
        <v>0.03619212962962963</v>
      </c>
    </row>
    <row r="80" spans="1:11" ht="15" customHeight="1">
      <c r="A80" s="5">
        <v>18</v>
      </c>
      <c r="B80" s="13">
        <v>11</v>
      </c>
      <c r="C80" s="34" t="str">
        <f>_xlfn.IFERROR(__xludf.DUMMYFUNCTION("""COMPUTED_VALUE"""),"MARAS")</f>
        <v>MARAS</v>
      </c>
      <c r="D80" s="40" t="str">
        <f>_xlfn.IFERROR(__xludf.DUMMYFUNCTION("""COMPUTED_VALUE"""),"Ladislav")</f>
        <v>Ladislav</v>
      </c>
      <c r="E80" s="7" t="s">
        <v>11</v>
      </c>
      <c r="F80" s="32" t="s">
        <v>3</v>
      </c>
      <c r="G80" s="27">
        <f>_xlfn.IFERROR(__xludf.DUMMYFUNCTION("""COMPUTED_VALUE"""),1963)</f>
        <v>1963</v>
      </c>
      <c r="H80" s="40" t="str">
        <f>_xlfn.IFERROR(__xludf.DUMMYFUNCTION("""COMPUTED_VALUE"""),"MARAS team")</f>
        <v>MARAS team</v>
      </c>
      <c r="I80" s="12" t="str">
        <f t="shared" si="2"/>
        <v>C</v>
      </c>
      <c r="J80" s="12">
        <f>COUNTIF(I$6:I80,I80)</f>
        <v>18</v>
      </c>
      <c r="K80" s="50">
        <v>0.03857638888888889</v>
      </c>
    </row>
    <row r="81" spans="1:11" s="3" customFormat="1" ht="30.75" customHeight="1">
      <c r="A81" s="172" t="s">
        <v>104</v>
      </c>
      <c r="B81" s="172"/>
      <c r="C81" s="172"/>
      <c r="D81" s="139"/>
      <c r="E81" s="140"/>
      <c r="F81" s="141"/>
      <c r="G81" s="142"/>
      <c r="H81" s="139"/>
      <c r="I81" s="15"/>
      <c r="J81" s="15"/>
      <c r="K81" s="143"/>
    </row>
    <row r="82" spans="1:11" s="74" customFormat="1" ht="15" customHeight="1">
      <c r="A82" s="82">
        <v>1</v>
      </c>
      <c r="B82" s="75">
        <v>21</v>
      </c>
      <c r="C82" s="144" t="s">
        <v>46</v>
      </c>
      <c r="D82" s="77" t="s">
        <v>47</v>
      </c>
      <c r="E82" s="78" t="s">
        <v>11</v>
      </c>
      <c r="F82" s="75" t="s">
        <v>3</v>
      </c>
      <c r="G82" s="79">
        <v>1960</v>
      </c>
      <c r="H82" s="77" t="s">
        <v>48</v>
      </c>
      <c r="I82" s="81" t="str">
        <f aca="true" t="shared" si="3" ref="I82:I92">IF(F82="m",IF($G$1-$G82&lt;=17,"JM",IF($G$1-$G82&lt;=39,"A",IF($G$1-$G82&lt;=49,"B",IF($G$1-$G82&lt;=59,"C",IF($G$1-$G82&lt;=69,"D","E"))))),IF($G$1-$G82&lt;=17,"JŽ",IF($G$1-$G82&lt;=39,"F",IF($G$1-$G82&lt;=49,"G",IF($G$1-$G82&lt;=59,"H","I")))))</f>
        <v>D</v>
      </c>
      <c r="J82" s="81">
        <f>COUNTIF(I$6:I82,I82)</f>
        <v>1</v>
      </c>
      <c r="K82" s="73">
        <v>0.025902777777777775</v>
      </c>
    </row>
    <row r="83" spans="1:11" s="104" customFormat="1" ht="15" customHeight="1">
      <c r="A83" s="94">
        <v>2</v>
      </c>
      <c r="B83" s="95">
        <v>36</v>
      </c>
      <c r="C83" s="152" t="str">
        <f>_xlfn.IFERROR(__xludf.DUMMYFUNCTION("""COMPUTED_VALUE"""),"VILHAN")</f>
        <v>VILHAN</v>
      </c>
      <c r="D83" s="112" t="str">
        <f>_xlfn.IFERROR(__xludf.DUMMYFUNCTION("""COMPUTED_VALUE"""),"Peter")</f>
        <v>Peter</v>
      </c>
      <c r="E83" s="98" t="s">
        <v>11</v>
      </c>
      <c r="F83" s="113" t="s">
        <v>3</v>
      </c>
      <c r="G83" s="114">
        <f>_xlfn.IFERROR(__xludf.DUMMYFUNCTION("""COMPUTED_VALUE"""),1954)</f>
        <v>1954</v>
      </c>
      <c r="H83" s="112" t="str">
        <f>_xlfn.IFERROR(__xludf.DUMMYFUNCTION("""COMPUTED_VALUE"""),"Košice")</f>
        <v>Košice</v>
      </c>
      <c r="I83" s="102" t="str">
        <f t="shared" si="3"/>
        <v>D</v>
      </c>
      <c r="J83" s="102">
        <f>COUNTIF(I$6:I83,I83)</f>
        <v>2</v>
      </c>
      <c r="K83" s="103">
        <v>0.02596064814814815</v>
      </c>
    </row>
    <row r="84" spans="1:11" s="127" customFormat="1" ht="15" customHeight="1">
      <c r="A84" s="133">
        <v>3</v>
      </c>
      <c r="B84" s="117">
        <v>92</v>
      </c>
      <c r="C84" s="153" t="str">
        <f>_xlfn.IFERROR(__xludf.DUMMYFUNCTION("""COMPUTED_VALUE"""),"KORMANÍK")</f>
        <v>KORMANÍK</v>
      </c>
      <c r="D84" s="129" t="str">
        <f>_xlfn.IFERROR(__xludf.DUMMYFUNCTION("""COMPUTED_VALUE"""),"Lukáš")</f>
        <v>Lukáš</v>
      </c>
      <c r="E84" s="120" t="s">
        <v>11</v>
      </c>
      <c r="F84" s="130" t="s">
        <v>3</v>
      </c>
      <c r="G84" s="131">
        <f>_xlfn.IFERROR(__xludf.DUMMYFUNCTION("""COMPUTED_VALUE"""),1957)</f>
        <v>1957</v>
      </c>
      <c r="H84" s="129" t="str">
        <f>_xlfn.IFERROR(__xludf.DUMMYFUNCTION("""COMPUTED_VALUE"""),"Sokol Ľubotice")</f>
        <v>Sokol Ľubotice</v>
      </c>
      <c r="I84" s="125" t="str">
        <f t="shared" si="3"/>
        <v>D</v>
      </c>
      <c r="J84" s="125">
        <f>COUNTIF(I$6:I84,I84)</f>
        <v>3</v>
      </c>
      <c r="K84" s="126">
        <v>0.026608796296296297</v>
      </c>
    </row>
    <row r="85" spans="1:11" ht="15" customHeight="1">
      <c r="A85" s="10">
        <v>4</v>
      </c>
      <c r="B85" s="13">
        <v>66</v>
      </c>
      <c r="C85" s="46" t="str">
        <f>_xlfn.IFERROR(__xludf.DUMMYFUNCTION("""COMPUTED_VALUE"""),"KAČALA")</f>
        <v>KAČALA</v>
      </c>
      <c r="D85" s="41" t="str">
        <f>_xlfn.IFERROR(__xludf.DUMMYFUNCTION("""COMPUTED_VALUE"""),"Pavol")</f>
        <v>Pavol</v>
      </c>
      <c r="E85" s="7" t="s">
        <v>11</v>
      </c>
      <c r="F85" s="31" t="s">
        <v>3</v>
      </c>
      <c r="G85" s="26">
        <f>_xlfn.IFERROR(__xludf.DUMMYFUNCTION("""COMPUTED_VALUE"""),1956)</f>
        <v>1956</v>
      </c>
      <c r="H85" s="37" t="str">
        <f>_xlfn.IFERROR(__xludf.DUMMYFUNCTION("""COMPUTED_VALUE"""),"OBS Prešov")</f>
        <v>OBS Prešov</v>
      </c>
      <c r="I85" s="14" t="str">
        <f t="shared" si="3"/>
        <v>D</v>
      </c>
      <c r="J85" s="12">
        <f>COUNTIF(I$6:I85,I85)</f>
        <v>4</v>
      </c>
      <c r="K85" s="50">
        <v>0.028946759259259255</v>
      </c>
    </row>
    <row r="86" spans="1:11" ht="15" customHeight="1">
      <c r="A86" s="5">
        <v>5</v>
      </c>
      <c r="B86" s="13">
        <v>55</v>
      </c>
      <c r="C86" s="45" t="str">
        <f>_xlfn.IFERROR(__xludf.DUMMYFUNCTION("""COMPUTED_VALUE"""),"MIHALIK")</f>
        <v>MIHALIK</v>
      </c>
      <c r="D86" s="40" t="str">
        <f>_xlfn.IFERROR(__xludf.DUMMYFUNCTION("""COMPUTED_VALUE"""),"Štefan")</f>
        <v>Štefan</v>
      </c>
      <c r="E86" s="7" t="s">
        <v>11</v>
      </c>
      <c r="F86" s="32" t="s">
        <v>3</v>
      </c>
      <c r="G86" s="27">
        <f>_xlfn.IFERROR(__xludf.DUMMYFUNCTION("""COMPUTED_VALUE"""),1954)</f>
        <v>1954</v>
      </c>
      <c r="H86" s="38" t="str">
        <f>_xlfn.IFERROR(__xludf.DUMMYFUNCTION("""COMPUTED_VALUE"""),"MARAS team")</f>
        <v>MARAS team</v>
      </c>
      <c r="I86" s="14" t="str">
        <f t="shared" si="3"/>
        <v>D</v>
      </c>
      <c r="J86" s="12">
        <f>COUNTIF(I$6:I86,I86)</f>
        <v>5</v>
      </c>
      <c r="K86" s="50">
        <v>0.029212962962962965</v>
      </c>
    </row>
    <row r="87" spans="1:11" ht="15" customHeight="1">
      <c r="A87" s="10">
        <v>6</v>
      </c>
      <c r="B87" s="13">
        <v>31</v>
      </c>
      <c r="C87" s="46" t="str">
        <f>_xlfn.IFERROR(__xludf.DUMMYFUNCTION("""COMPUTED_VALUE"""),"KAKAŠČÍK")</f>
        <v>KAKAŠČÍK</v>
      </c>
      <c r="D87" s="41" t="str">
        <f>_xlfn.IFERROR(__xludf.DUMMYFUNCTION("""COMPUTED_VALUE"""),"Jozef")</f>
        <v>Jozef</v>
      </c>
      <c r="E87" s="7" t="s">
        <v>11</v>
      </c>
      <c r="F87" s="31" t="s">
        <v>3</v>
      </c>
      <c r="G87" s="26">
        <f>_xlfn.IFERROR(__xludf.DUMMYFUNCTION("""COMPUTED_VALUE"""),1959)</f>
        <v>1959</v>
      </c>
      <c r="H87" s="37" t="str">
        <f>_xlfn.IFERROR(__xludf.DUMMYFUNCTION("""COMPUTED_VALUE"""),"NW-Záborské")</f>
        <v>NW-Záborské</v>
      </c>
      <c r="I87" s="14" t="str">
        <f t="shared" si="3"/>
        <v>D</v>
      </c>
      <c r="J87" s="12">
        <f>COUNTIF(I$6:I87,I87)</f>
        <v>6</v>
      </c>
      <c r="K87" s="50">
        <v>0.029490740740740744</v>
      </c>
    </row>
    <row r="88" spans="1:11" ht="15" customHeight="1">
      <c r="A88" s="5">
        <v>7</v>
      </c>
      <c r="B88" s="13">
        <v>3</v>
      </c>
      <c r="C88" s="44" t="s">
        <v>32</v>
      </c>
      <c r="D88" s="42" t="s">
        <v>30</v>
      </c>
      <c r="E88" s="7" t="s">
        <v>11</v>
      </c>
      <c r="F88" s="13" t="s">
        <v>3</v>
      </c>
      <c r="G88" s="28">
        <v>1956</v>
      </c>
      <c r="H88" s="39" t="s">
        <v>31</v>
      </c>
      <c r="I88" s="14" t="str">
        <f t="shared" si="3"/>
        <v>D</v>
      </c>
      <c r="J88" s="12">
        <f>COUNTIF(I$6:I88,I88)</f>
        <v>7</v>
      </c>
      <c r="K88" s="50">
        <v>0.03099537037037037</v>
      </c>
    </row>
    <row r="89" spans="1:11" ht="15" customHeight="1">
      <c r="A89" s="10">
        <v>8</v>
      </c>
      <c r="B89" s="13">
        <v>27</v>
      </c>
      <c r="C89" s="45" t="str">
        <f>_xlfn.IFERROR(__xludf.DUMMYFUNCTION("""COMPUTED_VALUE"""),"KAČALA")</f>
        <v>KAČALA</v>
      </c>
      <c r="D89" s="40" t="str">
        <f>_xlfn.IFERROR(__xludf.DUMMYFUNCTION("""COMPUTED_VALUE"""),"Ján")</f>
        <v>Ján</v>
      </c>
      <c r="E89" s="7" t="s">
        <v>11</v>
      </c>
      <c r="F89" s="32" t="s">
        <v>3</v>
      </c>
      <c r="G89" s="27">
        <f>_xlfn.IFERROR(__xludf.DUMMYFUNCTION("""COMPUTED_VALUE"""),1958)</f>
        <v>1958</v>
      </c>
      <c r="H89" s="38" t="str">
        <f>_xlfn.IFERROR(__xludf.DUMMYFUNCTION("""COMPUTED_VALUE"""),"Prešov")</f>
        <v>Prešov</v>
      </c>
      <c r="I89" s="14" t="str">
        <f t="shared" si="3"/>
        <v>D</v>
      </c>
      <c r="J89" s="12">
        <f>COUNTIF(I$6:I89,I89)</f>
        <v>8</v>
      </c>
      <c r="K89" s="50">
        <v>0.03215277777777777</v>
      </c>
    </row>
    <row r="90" spans="1:11" ht="15" customHeight="1">
      <c r="A90" s="5">
        <v>9</v>
      </c>
      <c r="B90" s="13">
        <v>19</v>
      </c>
      <c r="C90" s="45" t="str">
        <f>_xlfn.IFERROR(__xludf.DUMMYFUNCTION("""COMPUTED_VALUE"""),"BEDNÁR")</f>
        <v>BEDNÁR</v>
      </c>
      <c r="D90" s="40" t="str">
        <f>_xlfn.IFERROR(__xludf.DUMMYFUNCTION("""COMPUTED_VALUE"""),"František")</f>
        <v>František</v>
      </c>
      <c r="E90" s="7" t="s">
        <v>11</v>
      </c>
      <c r="F90" s="32" t="s">
        <v>3</v>
      </c>
      <c r="G90" s="27">
        <f>_xlfn.IFERROR(__xludf.DUMMYFUNCTION("""COMPUTED_VALUE"""),1958)</f>
        <v>1958</v>
      </c>
      <c r="H90" s="38" t="str">
        <f>_xlfn.IFERROR(__xludf.DUMMYFUNCTION("""COMPUTED_VALUE"""),"ZVL Prešov")</f>
        <v>ZVL Prešov</v>
      </c>
      <c r="I90" s="14" t="str">
        <f t="shared" si="3"/>
        <v>D</v>
      </c>
      <c r="J90" s="12">
        <f>COUNTIF(I$6:I90,I90)</f>
        <v>9</v>
      </c>
      <c r="K90" s="50">
        <v>0.03263888888888889</v>
      </c>
    </row>
    <row r="91" spans="1:11" ht="15" customHeight="1">
      <c r="A91" s="5">
        <v>10</v>
      </c>
      <c r="B91" s="13">
        <v>135</v>
      </c>
      <c r="C91" s="45" t="str">
        <f>_xlfn.IFERROR(__xludf.DUMMYFUNCTION("""COMPUTED_VALUE"""),"KUCHÁR")</f>
        <v>KUCHÁR</v>
      </c>
      <c r="D91" s="40" t="str">
        <f>_xlfn.IFERROR(__xludf.DUMMYFUNCTION("""COMPUTED_VALUE"""),"Emil")</f>
        <v>Emil</v>
      </c>
      <c r="E91" s="7" t="s">
        <v>11</v>
      </c>
      <c r="F91" s="32" t="s">
        <v>3</v>
      </c>
      <c r="G91" s="27">
        <f>_xlfn.IFERROR(__xludf.DUMMYFUNCTION("""COMPUTED_VALUE"""),1951)</f>
        <v>1951</v>
      </c>
      <c r="H91" s="38" t="str">
        <f>_xlfn.IFERROR(__xludf.DUMMYFUNCTION("""COMPUTED_VALUE"""),"Active life ")</f>
        <v>Active life </v>
      </c>
      <c r="I91" s="12" t="str">
        <f t="shared" si="3"/>
        <v>D</v>
      </c>
      <c r="J91" s="12">
        <f>COUNTIF(I$6:I91,I91)</f>
        <v>10</v>
      </c>
      <c r="K91" s="50">
        <v>0.03884259259259259</v>
      </c>
    </row>
    <row r="92" spans="1:11" ht="15" customHeight="1">
      <c r="A92" s="5">
        <v>11</v>
      </c>
      <c r="B92" s="13">
        <v>89</v>
      </c>
      <c r="C92" s="44" t="s">
        <v>21</v>
      </c>
      <c r="D92" s="42" t="s">
        <v>88</v>
      </c>
      <c r="E92" s="7" t="s">
        <v>11</v>
      </c>
      <c r="F92" s="13" t="s">
        <v>3</v>
      </c>
      <c r="G92" s="28">
        <v>1955</v>
      </c>
      <c r="H92" s="39" t="s">
        <v>36</v>
      </c>
      <c r="I92" s="14" t="str">
        <f t="shared" si="3"/>
        <v>D</v>
      </c>
      <c r="J92" s="12">
        <f>COUNTIF(I$6:I92,I92)</f>
        <v>11</v>
      </c>
      <c r="K92" s="50">
        <v>0.04037037037037037</v>
      </c>
    </row>
    <row r="93" spans="1:11" s="3" customFormat="1" ht="30" customHeight="1">
      <c r="A93" s="169" t="s">
        <v>103</v>
      </c>
      <c r="B93" s="8"/>
      <c r="C93" s="155"/>
      <c r="D93" s="156"/>
      <c r="E93" s="140"/>
      <c r="F93" s="8"/>
      <c r="G93" s="22"/>
      <c r="H93" s="156"/>
      <c r="I93" s="15"/>
      <c r="J93" s="15"/>
      <c r="K93" s="143"/>
    </row>
    <row r="94" spans="1:11" s="74" customFormat="1" ht="15" customHeight="1">
      <c r="A94" s="82">
        <v>1</v>
      </c>
      <c r="B94" s="75">
        <v>126</v>
      </c>
      <c r="C94" s="83" t="str">
        <f>_xlfn.IFERROR(__xludf.DUMMYFUNCTION("""COMPUTED_VALUE"""),"PAPP")</f>
        <v>PAPP</v>
      </c>
      <c r="D94" s="84" t="str">
        <f>_xlfn.IFERROR(__xludf.DUMMYFUNCTION("""COMPUTED_VALUE"""),"Zoltán")</f>
        <v>Zoltán</v>
      </c>
      <c r="E94" s="78" t="s">
        <v>11</v>
      </c>
      <c r="F94" s="85" t="s">
        <v>3</v>
      </c>
      <c r="G94" s="86">
        <f>_xlfn.IFERROR(__xludf.DUMMYFUNCTION("""COMPUTED_VALUE"""),1949)</f>
        <v>1949</v>
      </c>
      <c r="H94" s="87" t="str">
        <f>_xlfn.IFERROR(__xludf.DUMMYFUNCTION("""COMPUTED_VALUE"""),"MBK Veľké Kapušany")</f>
        <v>MBK Veľké Kapušany</v>
      </c>
      <c r="I94" s="81" t="str">
        <f>IF(F94="m",IF($G$1-$G94&lt;=17,"JM",IF($G$1-$G94&lt;=39,"A",IF($G$1-$G94&lt;=49,"B",IF($G$1-$G94&lt;=59,"C",IF($G$1-$G94&lt;=69,"D","E"))))),IF($G$1-$G94&lt;=17,"JŽ",IF($G$1-$G94&lt;=39,"F",IF($G$1-$G94&lt;=49,"G",IF($G$1-$G94&lt;=59,"H","I")))))</f>
        <v>E</v>
      </c>
      <c r="J94" s="81">
        <f>COUNTIF(I$6:I94,I94)</f>
        <v>1</v>
      </c>
      <c r="K94" s="73">
        <v>0.029930555555555557</v>
      </c>
    </row>
    <row r="95" spans="1:11" s="104" customFormat="1" ht="15" customHeight="1">
      <c r="A95" s="94">
        <v>2</v>
      </c>
      <c r="B95" s="95">
        <v>93</v>
      </c>
      <c r="C95" s="111" t="str">
        <f>_xlfn.IFERROR(__xludf.DUMMYFUNCTION("""COMPUTED_VALUE"""),"STANEK")</f>
        <v>STANEK</v>
      </c>
      <c r="D95" s="112" t="str">
        <f>_xlfn.IFERROR(__xludf.DUMMYFUNCTION("""COMPUTED_VALUE"""),"František")</f>
        <v>František</v>
      </c>
      <c r="E95" s="98" t="s">
        <v>11</v>
      </c>
      <c r="F95" s="113" t="s">
        <v>3</v>
      </c>
      <c r="G95" s="114">
        <f>_xlfn.IFERROR(__xludf.DUMMYFUNCTION("""COMPUTED_VALUE"""),1945)</f>
        <v>1945</v>
      </c>
      <c r="H95" s="115" t="str">
        <f>_xlfn.IFERROR(__xludf.DUMMYFUNCTION("""COMPUTED_VALUE"""),"MTC Vyšná Šebasová")</f>
        <v>MTC Vyšná Šebasová</v>
      </c>
      <c r="I95" s="101" t="str">
        <f>IF(F95="m",IF($G$1-$G95&lt;=17,"JM",IF($G$1-$G95&lt;=39,"A",IF($G$1-$G95&lt;=49,"B",IF($G$1-$G95&lt;=59,"C",IF($G$1-$G95&lt;=69,"D","E"))))),IF($G$1-$G95&lt;=17,"JŽ",IF($G$1-$G95&lt;=39,"F",IF($G$1-$G95&lt;=49,"G",IF($G$1-$G95&lt;=59,"H","I")))))</f>
        <v>E</v>
      </c>
      <c r="J95" s="102">
        <f>COUNTIF(I$6:I95,I95)</f>
        <v>2</v>
      </c>
      <c r="K95" s="103">
        <v>0.03309027777777778</v>
      </c>
    </row>
    <row r="96" spans="1:11" s="127" customFormat="1" ht="15" customHeight="1">
      <c r="A96" s="116">
        <v>3</v>
      </c>
      <c r="B96" s="117">
        <v>45</v>
      </c>
      <c r="C96" s="128" t="str">
        <f>_xlfn.IFERROR(__xludf.DUMMYFUNCTION("""COMPUTED_VALUE"""),"SEMAN")</f>
        <v>SEMAN</v>
      </c>
      <c r="D96" s="129" t="str">
        <f>_xlfn.IFERROR(__xludf.DUMMYFUNCTION("""COMPUTED_VALUE"""),"Tomáš")</f>
        <v>Tomáš</v>
      </c>
      <c r="E96" s="120" t="s">
        <v>11</v>
      </c>
      <c r="F96" s="130" t="s">
        <v>3</v>
      </c>
      <c r="G96" s="131">
        <f>_xlfn.IFERROR(__xludf.DUMMYFUNCTION("""COMPUTED_VALUE"""),1948)</f>
        <v>1948</v>
      </c>
      <c r="H96" s="132" t="str">
        <f>_xlfn.IFERROR(__xludf.DUMMYFUNCTION("""COMPUTED_VALUE"""),"Vrtuľníkove krídlo Prešov")</f>
        <v>Vrtuľníkove krídlo Prešov</v>
      </c>
      <c r="I96" s="124" t="str">
        <f>IF(F96="m",IF($G$1-$G96&lt;=17,"JM",IF($G$1-$G96&lt;=39,"A",IF($G$1-$G96&lt;=49,"B",IF($G$1-$G96&lt;=59,"C",IF($G$1-$G96&lt;=69,"D","E"))))),IF($G$1-$G96&lt;=17,"JŽ",IF($G$1-$G96&lt;=39,"F",IF($G$1-$G96&lt;=49,"G",IF($G$1-$G96&lt;=59,"H","I")))))</f>
        <v>E</v>
      </c>
      <c r="J96" s="125">
        <f>COUNTIF(I$6:I96,I96)</f>
        <v>3</v>
      </c>
      <c r="K96" s="126">
        <v>0.03584490740740741</v>
      </c>
    </row>
    <row r="97" spans="1:11" ht="15" customHeight="1">
      <c r="A97" s="5">
        <v>4</v>
      </c>
      <c r="B97" s="13">
        <v>17</v>
      </c>
      <c r="C97" s="36" t="s">
        <v>42</v>
      </c>
      <c r="D97" s="42" t="s">
        <v>22</v>
      </c>
      <c r="E97" s="7" t="s">
        <v>11</v>
      </c>
      <c r="F97" s="13" t="s">
        <v>3</v>
      </c>
      <c r="G97" s="28">
        <v>1950</v>
      </c>
      <c r="H97" s="42" t="s">
        <v>43</v>
      </c>
      <c r="I97" s="12" t="str">
        <f>IF(F97="m",IF($G$1-$G97&lt;=17,"JM",IF($G$1-$G97&lt;=39,"A",IF($G$1-$G97&lt;=49,"B",IF($G$1-$G97&lt;=59,"C",IF($G$1-$G97&lt;=69,"D","E"))))),IF($G$1-$G97&lt;=17,"JŽ",IF($G$1-$G97&lt;=39,"F",IF($G$1-$G97&lt;=49,"G",IF($G$1-$G97&lt;=59,"H","I")))))</f>
        <v>E</v>
      </c>
      <c r="J97" s="12">
        <f>COUNTIF(I$6:I97,I97)</f>
        <v>4</v>
      </c>
      <c r="K97" s="50">
        <v>0.03730324074074074</v>
      </c>
    </row>
    <row r="98" spans="1:11" ht="15" customHeight="1">
      <c r="A98" s="5">
        <v>5</v>
      </c>
      <c r="B98" s="13">
        <v>34</v>
      </c>
      <c r="C98" s="34" t="str">
        <f>_xlfn.IFERROR(__xludf.DUMMYFUNCTION("""COMPUTED_VALUE"""),"KASSAY")</f>
        <v>KASSAY</v>
      </c>
      <c r="D98" s="40" t="str">
        <f>_xlfn.IFERROR(__xludf.DUMMYFUNCTION("""COMPUTED_VALUE"""),"Vojtech")</f>
        <v>Vojtech</v>
      </c>
      <c r="E98" s="7" t="s">
        <v>11</v>
      </c>
      <c r="F98" s="32" t="s">
        <v>3</v>
      </c>
      <c r="G98" s="27">
        <f>_xlfn.IFERROR(__xludf.DUMMYFUNCTION("""COMPUTED_VALUE"""),1946)</f>
        <v>1946</v>
      </c>
      <c r="H98" s="40" t="str">
        <f>_xlfn.IFERROR(__xludf.DUMMYFUNCTION("""COMPUTED_VALUE"""),"MARAS team")</f>
        <v>MARAS team</v>
      </c>
      <c r="I98" s="12" t="str">
        <f>IF(F98="m",IF($G$1-$G98&lt;=17,"JM",IF($G$1-$G98&lt;=39,"A",IF($G$1-$G98&lt;=49,"B",IF($G$1-$G98&lt;=59,"C",IF($G$1-$G98&lt;=69,"D","E"))))),IF($G$1-$G98&lt;=17,"JŽ",IF($G$1-$G98&lt;=39,"F",IF($G$1-$G98&lt;=49,"G",IF($G$1-$G98&lt;=59,"H","I")))))</f>
        <v>E</v>
      </c>
      <c r="J98" s="12">
        <f>COUNTIF(I$6:I98,I98)</f>
        <v>5</v>
      </c>
      <c r="K98" s="50">
        <v>0.04877314814814815</v>
      </c>
    </row>
    <row r="99" spans="1:11" s="3" customFormat="1" ht="27" customHeight="1">
      <c r="A99" s="172" t="s">
        <v>105</v>
      </c>
      <c r="B99" s="172"/>
      <c r="C99" s="172"/>
      <c r="D99" s="139"/>
      <c r="E99" s="140"/>
      <c r="F99" s="141"/>
      <c r="G99" s="142"/>
      <c r="H99" s="139"/>
      <c r="I99" s="15"/>
      <c r="J99" s="15"/>
      <c r="K99" s="143"/>
    </row>
    <row r="100" spans="1:11" s="74" customFormat="1" ht="15" customHeight="1">
      <c r="A100" s="82">
        <v>1</v>
      </c>
      <c r="B100" s="75">
        <v>29</v>
      </c>
      <c r="C100" s="154" t="str">
        <f>_xlfn.IFERROR(__xludf.DUMMYFUNCTION("""COMPUTED_VALUE"""),"ČONKOVÁ")</f>
        <v>ČONKOVÁ</v>
      </c>
      <c r="D100" s="84" t="str">
        <f>_xlfn.IFERROR(__xludf.DUMMYFUNCTION("""COMPUTED_VALUE"""),"Simona")</f>
        <v>Simona</v>
      </c>
      <c r="E100" s="78" t="s">
        <v>11</v>
      </c>
      <c r="F100" s="85" t="s">
        <v>23</v>
      </c>
      <c r="G100" s="86" t="s">
        <v>29</v>
      </c>
      <c r="H100" s="84" t="str">
        <f>_xlfn.IFERROR(__xludf.DUMMYFUNCTION("""COMPUTED_VALUE"""),"MARAS team")</f>
        <v>MARAS team</v>
      </c>
      <c r="I100" s="81" t="str">
        <f aca="true" t="shared" si="4" ref="I100:I120">IF(F100="m",IF($G$1-$G100&lt;=17,"JM",IF($G$1-$G100&lt;=39,"A",IF($G$1-$G100&lt;=49,"B",IF($G$1-$G100&lt;=59,"C",IF($G$1-$G100&lt;=69,"D","E"))))),IF($G$1-$G100&lt;=17,"JŽ",IF($G$1-$G100&lt;=39,"F",IF($G$1-$G100&lt;=49,"G",IF($G$1-$G100&lt;=59,"H","I")))))</f>
        <v>F</v>
      </c>
      <c r="J100" s="81">
        <f>COUNTIF(I$6:I100,I100)</f>
        <v>1</v>
      </c>
      <c r="K100" s="73">
        <v>0.025474537037037035</v>
      </c>
    </row>
    <row r="101" spans="1:11" s="104" customFormat="1" ht="15" customHeight="1">
      <c r="A101" s="94">
        <v>2</v>
      </c>
      <c r="B101" s="95">
        <v>71</v>
      </c>
      <c r="C101" s="145" t="str">
        <f>_xlfn.IFERROR(__xludf.DUMMYFUNCTION("""COMPUTED_VALUE"""),"POLAŠČÍKOVÁ")</f>
        <v>POLAŠČÍKOVÁ</v>
      </c>
      <c r="D101" s="106" t="str">
        <f>_xlfn.IFERROR(__xludf.DUMMYFUNCTION("""COMPUTED_VALUE"""),"Miroslava")</f>
        <v>Miroslava</v>
      </c>
      <c r="E101" s="98" t="s">
        <v>11</v>
      </c>
      <c r="F101" s="107" t="s">
        <v>23</v>
      </c>
      <c r="G101" s="108">
        <f>_xlfn.IFERROR(__xludf.DUMMYFUNCTION("""COMPUTED_VALUE"""),1988)</f>
        <v>1988</v>
      </c>
      <c r="H101" s="106" t="str">
        <f>_xlfn.IFERROR(__xludf.DUMMYFUNCTION("""COMPUTED_VALUE"""),"Klub bežcov Stropkov")</f>
        <v>Klub bežcov Stropkov</v>
      </c>
      <c r="I101" s="102" t="str">
        <f t="shared" si="4"/>
        <v>F</v>
      </c>
      <c r="J101" s="102">
        <f>COUNTIF(I$6:I101,I101)</f>
        <v>2</v>
      </c>
      <c r="K101" s="103">
        <v>0.025833333333333333</v>
      </c>
    </row>
    <row r="102" spans="1:11" s="127" customFormat="1" ht="15" customHeight="1">
      <c r="A102" s="133">
        <v>3</v>
      </c>
      <c r="B102" s="117">
        <v>43</v>
      </c>
      <c r="C102" s="153" t="str">
        <f>_xlfn.IFERROR(__xludf.DUMMYFUNCTION("""COMPUTED_VALUE"""),"ŠAMULÁKOVÁ")</f>
        <v>ŠAMULÁKOVÁ</v>
      </c>
      <c r="D102" s="129" t="str">
        <f>_xlfn.IFERROR(__xludf.DUMMYFUNCTION("""COMPUTED_VALUE"""),"Petra")</f>
        <v>Petra</v>
      </c>
      <c r="E102" s="120" t="s">
        <v>11</v>
      </c>
      <c r="F102" s="130" t="s">
        <v>23</v>
      </c>
      <c r="G102" s="131">
        <f>_xlfn.IFERROR(__xludf.DUMMYFUNCTION("""COMPUTED_VALUE"""),1982)</f>
        <v>1982</v>
      </c>
      <c r="H102" s="129" t="str">
        <f>_xlfn.IFERROR(__xludf.DUMMYFUNCTION("""COMPUTED_VALUE"""),"Košice")</f>
        <v>Košice</v>
      </c>
      <c r="I102" s="125" t="str">
        <f t="shared" si="4"/>
        <v>F</v>
      </c>
      <c r="J102" s="125">
        <f>COUNTIF(I$6:I102,I102)</f>
        <v>3</v>
      </c>
      <c r="K102" s="126">
        <v>0.02695601851851852</v>
      </c>
    </row>
    <row r="103" spans="1:11" ht="15" customHeight="1">
      <c r="A103" s="10">
        <v>4</v>
      </c>
      <c r="B103" s="13">
        <v>12</v>
      </c>
      <c r="C103" s="46" t="str">
        <f>_xlfn.IFERROR(__xludf.DUMMYFUNCTION("""COMPUTED_VALUE"""),"ODELGOVÁ")</f>
        <v>ODELGOVÁ</v>
      </c>
      <c r="D103" s="41" t="str">
        <f>_xlfn.IFERROR(__xludf.DUMMYFUNCTION("""COMPUTED_VALUE"""),"Silvia")</f>
        <v>Silvia</v>
      </c>
      <c r="E103" s="7" t="s">
        <v>11</v>
      </c>
      <c r="F103" s="31" t="s">
        <v>23</v>
      </c>
      <c r="G103" s="26">
        <f>_xlfn.IFERROR(__xludf.DUMMYFUNCTION("""COMPUTED_VALUE"""),1982)</f>
        <v>1982</v>
      </c>
      <c r="H103" s="37" t="str">
        <f>_xlfn.IFERROR(__xludf.DUMMYFUNCTION("""COMPUTED_VALUE"""),"MARAS team")</f>
        <v>MARAS team</v>
      </c>
      <c r="I103" s="14" t="str">
        <f t="shared" si="4"/>
        <v>F</v>
      </c>
      <c r="J103" s="12">
        <f>COUNTIF(I$6:I103,I103)</f>
        <v>4</v>
      </c>
      <c r="K103" s="50">
        <v>0.027291666666666662</v>
      </c>
    </row>
    <row r="104" spans="1:11" ht="15" customHeight="1">
      <c r="A104" s="5">
        <v>5</v>
      </c>
      <c r="B104" s="13">
        <v>6</v>
      </c>
      <c r="C104" s="46" t="str">
        <f>_xlfn.IFERROR(__xludf.DUMMYFUNCTION("""COMPUTED_VALUE"""),"STAHOVEC")</f>
        <v>STAHOVEC</v>
      </c>
      <c r="D104" s="41" t="str">
        <f>_xlfn.IFERROR(__xludf.DUMMYFUNCTION("""COMPUTED_VALUE"""),"Dominika")</f>
        <v>Dominika</v>
      </c>
      <c r="E104" s="7" t="s">
        <v>11</v>
      </c>
      <c r="F104" s="31" t="s">
        <v>23</v>
      </c>
      <c r="G104" s="26">
        <f>_xlfn.IFERROR(__xludf.DUMMYFUNCTION("""COMPUTED_VALUE"""),1987)</f>
        <v>1987</v>
      </c>
      <c r="H104" s="37" t="str">
        <f>_xlfn.IFERROR(__xludf.DUMMYFUNCTION("""COMPUTED_VALUE"""),"MARAS team")</f>
        <v>MARAS team</v>
      </c>
      <c r="I104" s="14" t="str">
        <f t="shared" si="4"/>
        <v>F</v>
      </c>
      <c r="J104" s="12">
        <f>COUNTIF(I$6:I104,I104)</f>
        <v>5</v>
      </c>
      <c r="K104" s="50">
        <v>0.02763888888888889</v>
      </c>
    </row>
    <row r="105" spans="1:11" ht="15" customHeight="1">
      <c r="A105" s="10">
        <v>6</v>
      </c>
      <c r="B105" s="13">
        <v>90</v>
      </c>
      <c r="C105" s="44" t="s">
        <v>90</v>
      </c>
      <c r="D105" s="42" t="s">
        <v>89</v>
      </c>
      <c r="E105" s="7" t="s">
        <v>11</v>
      </c>
      <c r="F105" s="13" t="s">
        <v>23</v>
      </c>
      <c r="G105" s="28">
        <v>1984</v>
      </c>
      <c r="H105" s="39" t="s">
        <v>26</v>
      </c>
      <c r="I105" s="14" t="str">
        <f t="shared" si="4"/>
        <v>F</v>
      </c>
      <c r="J105" s="12">
        <f>COUNTIF(I$6:I105,I105)</f>
        <v>6</v>
      </c>
      <c r="K105" s="50">
        <v>0.02809027777777778</v>
      </c>
    </row>
    <row r="106" spans="1:11" ht="15" customHeight="1">
      <c r="A106" s="5">
        <v>7</v>
      </c>
      <c r="B106" s="13">
        <v>42</v>
      </c>
      <c r="C106" s="46" t="str">
        <f>_xlfn.IFERROR(__xludf.DUMMYFUNCTION("""COMPUTED_VALUE"""),"KMECOVÁ")</f>
        <v>KMECOVÁ</v>
      </c>
      <c r="D106" s="41" t="str">
        <f>_xlfn.IFERROR(__xludf.DUMMYFUNCTION("""COMPUTED_VALUE"""),"Daniela")</f>
        <v>Daniela</v>
      </c>
      <c r="E106" s="7" t="s">
        <v>11</v>
      </c>
      <c r="F106" s="31" t="s">
        <v>23</v>
      </c>
      <c r="G106" s="26">
        <f>_xlfn.IFERROR(__xludf.DUMMYFUNCTION("""COMPUTED_VALUE"""),1990)</f>
        <v>1990</v>
      </c>
      <c r="H106" s="37" t="str">
        <f>_xlfn.IFERROR(__xludf.DUMMYFUNCTION("""COMPUTED_VALUE"""),"Maras team")</f>
        <v>Maras team</v>
      </c>
      <c r="I106" s="14" t="str">
        <f t="shared" si="4"/>
        <v>F</v>
      </c>
      <c r="J106" s="12">
        <f>COUNTIF(I$6:I106,I106)</f>
        <v>7</v>
      </c>
      <c r="K106" s="50">
        <v>0.028182870370370372</v>
      </c>
    </row>
    <row r="107" spans="1:11" ht="15" customHeight="1">
      <c r="A107" s="10">
        <v>8</v>
      </c>
      <c r="B107" s="13">
        <v>64</v>
      </c>
      <c r="C107" s="46" t="str">
        <f>_xlfn.IFERROR(__xludf.DUMMYFUNCTION("""COMPUTED_VALUE"""),"SAJDAKOVÁ")</f>
        <v>SAJDAKOVÁ</v>
      </c>
      <c r="D107" s="41" t="str">
        <f>_xlfn.IFERROR(__xludf.DUMMYFUNCTION("""COMPUTED_VALUE"""),"Zuzana")</f>
        <v>Zuzana</v>
      </c>
      <c r="E107" s="7" t="s">
        <v>11</v>
      </c>
      <c r="F107" s="31" t="s">
        <v>23</v>
      </c>
      <c r="G107" s="26">
        <f>_xlfn.IFERROR(__xludf.DUMMYFUNCTION("""COMPUTED_VALUE"""),1988)</f>
        <v>1988</v>
      </c>
      <c r="H107" s="37" t="str">
        <f>_xlfn.IFERROR(__xludf.DUMMYFUNCTION("""COMPUTED_VALUE"""),"SOKOL LUBOTICE")</f>
        <v>SOKOL LUBOTICE</v>
      </c>
      <c r="I107" s="14" t="str">
        <f t="shared" si="4"/>
        <v>F</v>
      </c>
      <c r="J107" s="12">
        <f>COUNTIF(I$6:I107,I107)</f>
        <v>8</v>
      </c>
      <c r="K107" s="50">
        <v>0.028738425925925928</v>
      </c>
    </row>
    <row r="108" spans="1:11" ht="15" customHeight="1">
      <c r="A108" s="5">
        <v>9</v>
      </c>
      <c r="B108" s="13">
        <v>54</v>
      </c>
      <c r="C108" s="45" t="str">
        <f>_xlfn.IFERROR(__xludf.DUMMYFUNCTION("""COMPUTED_VALUE"""),"MIHALIKOVÁ")</f>
        <v>MIHALIKOVÁ</v>
      </c>
      <c r="D108" s="40" t="str">
        <f>_xlfn.IFERROR(__xludf.DUMMYFUNCTION("""COMPUTED_VALUE"""),"Veronika")</f>
        <v>Veronika</v>
      </c>
      <c r="E108" s="7" t="s">
        <v>11</v>
      </c>
      <c r="F108" s="32" t="s">
        <v>23</v>
      </c>
      <c r="G108" s="27">
        <f>_xlfn.IFERROR(__xludf.DUMMYFUNCTION("""COMPUTED_VALUE"""),2000)</f>
        <v>2000</v>
      </c>
      <c r="H108" s="38" t="str">
        <f>_xlfn.IFERROR(__xludf.DUMMYFUNCTION("""COMPUTED_VALUE"""),"OZ Športom k radosti")</f>
        <v>OZ Športom k radosti</v>
      </c>
      <c r="I108" s="14" t="str">
        <f t="shared" si="4"/>
        <v>F</v>
      </c>
      <c r="J108" s="12">
        <f>COUNTIF(I$6:I108,I108)</f>
        <v>9</v>
      </c>
      <c r="K108" s="50">
        <v>0.031608796296296295</v>
      </c>
    </row>
    <row r="109" spans="1:11" ht="15" customHeight="1">
      <c r="A109" s="10">
        <v>10</v>
      </c>
      <c r="B109" s="13">
        <v>25</v>
      </c>
      <c r="C109" s="44" t="s">
        <v>51</v>
      </c>
      <c r="D109" s="42" t="s">
        <v>52</v>
      </c>
      <c r="E109" s="7" t="s">
        <v>11</v>
      </c>
      <c r="F109" s="13" t="s">
        <v>23</v>
      </c>
      <c r="G109" s="28">
        <v>1986</v>
      </c>
      <c r="H109" s="39" t="s">
        <v>53</v>
      </c>
      <c r="I109" s="14" t="str">
        <f t="shared" si="4"/>
        <v>F</v>
      </c>
      <c r="J109" s="12">
        <f>COUNTIF(I$6:I109,I109)</f>
        <v>10</v>
      </c>
      <c r="K109" s="50">
        <v>0.0319212962962963</v>
      </c>
    </row>
    <row r="110" spans="1:11" ht="15" customHeight="1">
      <c r="A110" s="5">
        <v>11</v>
      </c>
      <c r="B110" s="13">
        <v>116</v>
      </c>
      <c r="C110" s="45" t="str">
        <f>_xlfn.IFERROR(__xludf.DUMMYFUNCTION("""COMPUTED_VALUE"""),"HRACHIAR")</f>
        <v>HRACHIAR</v>
      </c>
      <c r="D110" s="40" t="str">
        <f>_xlfn.IFERROR(__xludf.DUMMYFUNCTION("""COMPUTED_VALUE"""),"Martina")</f>
        <v>Martina</v>
      </c>
      <c r="E110" s="7" t="s">
        <v>11</v>
      </c>
      <c r="F110" s="32" t="s">
        <v>23</v>
      </c>
      <c r="G110" s="27">
        <f>_xlfn.IFERROR(__xludf.DUMMYFUNCTION("""COMPUTED_VALUE"""),1982)</f>
        <v>1982</v>
      </c>
      <c r="H110" s="38" t="str">
        <f>_xlfn.IFERROR(__xludf.DUMMYFUNCTION("""COMPUTED_VALUE"""),"Revúca")</f>
        <v>Revúca</v>
      </c>
      <c r="I110" s="14" t="str">
        <f t="shared" si="4"/>
        <v>F</v>
      </c>
      <c r="J110" s="12">
        <f>COUNTIF(I$6:I110,I110)</f>
        <v>11</v>
      </c>
      <c r="K110" s="50">
        <v>0.03204861111111111</v>
      </c>
    </row>
    <row r="111" spans="1:11" ht="15" customHeight="1">
      <c r="A111" s="10">
        <v>12</v>
      </c>
      <c r="B111" s="13">
        <v>109</v>
      </c>
      <c r="C111" s="46" t="str">
        <f>_xlfn.IFERROR(__xludf.DUMMYFUNCTION("""COMPUTED_VALUE"""),"ŠPIRENGOVÁ")</f>
        <v>ŠPIRENGOVÁ</v>
      </c>
      <c r="D111" s="41" t="str">
        <f>_xlfn.IFERROR(__xludf.DUMMYFUNCTION("""COMPUTED_VALUE"""),"Veronika")</f>
        <v>Veronika</v>
      </c>
      <c r="E111" s="7" t="s">
        <v>11</v>
      </c>
      <c r="F111" s="31" t="s">
        <v>23</v>
      </c>
      <c r="G111" s="26">
        <f>_xlfn.IFERROR(__xludf.DUMMYFUNCTION("""COMPUTED_VALUE"""),1981)</f>
        <v>1981</v>
      </c>
      <c r="H111" s="37" t="str">
        <f>_xlfn.IFERROR(__xludf.DUMMYFUNCTION("""COMPUTED_VALUE"""),"Hi G Run")</f>
        <v>Hi G Run</v>
      </c>
      <c r="I111" s="14" t="str">
        <f t="shared" si="4"/>
        <v>F</v>
      </c>
      <c r="J111" s="12">
        <f>COUNTIF(I$6:I111,I111)</f>
        <v>12</v>
      </c>
      <c r="K111" s="50">
        <v>0.032199074074074074</v>
      </c>
    </row>
    <row r="112" spans="1:11" ht="15" customHeight="1">
      <c r="A112" s="5">
        <v>13</v>
      </c>
      <c r="B112" s="13">
        <v>62</v>
      </c>
      <c r="C112" s="46" t="str">
        <f>_xlfn.IFERROR(__xludf.DUMMYFUNCTION("""COMPUTED_VALUE"""),"MITROVA")</f>
        <v>MITROVA</v>
      </c>
      <c r="D112" s="41" t="str">
        <f>_xlfn.IFERROR(__xludf.DUMMYFUNCTION("""COMPUTED_VALUE"""),"Iveta")</f>
        <v>Iveta</v>
      </c>
      <c r="E112" s="7" t="s">
        <v>11</v>
      </c>
      <c r="F112" s="31" t="s">
        <v>23</v>
      </c>
      <c r="G112" s="26">
        <f>_xlfn.IFERROR(__xludf.DUMMYFUNCTION("""COMPUTED_VALUE"""),1981)</f>
        <v>1981</v>
      </c>
      <c r="H112" s="37" t="str">
        <f>_xlfn.IFERROR(__xludf.DUMMYFUNCTION("""COMPUTED_VALUE"""),"Košice")</f>
        <v>Košice</v>
      </c>
      <c r="I112" s="14" t="str">
        <f t="shared" si="4"/>
        <v>F</v>
      </c>
      <c r="J112" s="12">
        <f>COUNTIF(I$6:I112,I112)</f>
        <v>13</v>
      </c>
      <c r="K112" s="50">
        <v>0.03366898148148148</v>
      </c>
    </row>
    <row r="113" spans="1:11" ht="15" customHeight="1">
      <c r="A113" s="10">
        <v>14</v>
      </c>
      <c r="B113" s="13">
        <v>49</v>
      </c>
      <c r="C113" s="44" t="s">
        <v>60</v>
      </c>
      <c r="D113" s="42" t="s">
        <v>61</v>
      </c>
      <c r="E113" s="7" t="s">
        <v>11</v>
      </c>
      <c r="F113" s="13" t="s">
        <v>23</v>
      </c>
      <c r="G113" s="28">
        <v>1985</v>
      </c>
      <c r="H113" s="39" t="s">
        <v>26</v>
      </c>
      <c r="I113" s="14" t="str">
        <f t="shared" si="4"/>
        <v>F</v>
      </c>
      <c r="J113" s="12">
        <f>COUNTIF(I$6:I113,I113)</f>
        <v>14</v>
      </c>
      <c r="K113" s="50">
        <v>0.03417824074074074</v>
      </c>
    </row>
    <row r="114" spans="1:11" ht="15" customHeight="1">
      <c r="A114" s="5">
        <v>15</v>
      </c>
      <c r="B114" s="13">
        <v>77</v>
      </c>
      <c r="C114" s="44" t="s">
        <v>80</v>
      </c>
      <c r="D114" s="42" t="s">
        <v>81</v>
      </c>
      <c r="E114" s="7" t="s">
        <v>11</v>
      </c>
      <c r="F114" s="13" t="s">
        <v>23</v>
      </c>
      <c r="G114" s="28">
        <v>1997</v>
      </c>
      <c r="H114" s="39" t="s">
        <v>82</v>
      </c>
      <c r="I114" s="14" t="str">
        <f t="shared" si="4"/>
        <v>F</v>
      </c>
      <c r="J114" s="12">
        <f>COUNTIF(I$6:I114,I114)</f>
        <v>15</v>
      </c>
      <c r="K114" s="50">
        <v>0.03451388888888889</v>
      </c>
    </row>
    <row r="115" spans="1:11" ht="15" customHeight="1">
      <c r="A115" s="10">
        <v>16</v>
      </c>
      <c r="B115" s="13">
        <v>78</v>
      </c>
      <c r="C115" s="46" t="str">
        <f>_xlfn.IFERROR(__xludf.DUMMYFUNCTION("""COMPUTED_VALUE"""),"SCHENK")</f>
        <v>SCHENK</v>
      </c>
      <c r="D115" s="41" t="str">
        <f>_xlfn.IFERROR(__xludf.DUMMYFUNCTION("""COMPUTED_VALUE"""),"Ľubomíra")</f>
        <v>Ľubomíra</v>
      </c>
      <c r="E115" s="7" t="s">
        <v>11</v>
      </c>
      <c r="F115" s="31" t="s">
        <v>23</v>
      </c>
      <c r="G115" s="26">
        <f>_xlfn.IFERROR(__xludf.DUMMYFUNCTION("""COMPUTED_VALUE"""),1981)</f>
        <v>1981</v>
      </c>
      <c r="H115" s="37" t="str">
        <f>_xlfn.IFERROR(__xludf.DUMMYFUNCTION("""COMPUTED_VALUE"""),"Prešov ")</f>
        <v>Prešov </v>
      </c>
      <c r="I115" s="14" t="str">
        <f t="shared" si="4"/>
        <v>F</v>
      </c>
      <c r="J115" s="12">
        <f>COUNTIF(I$6:I115,I115)</f>
        <v>16</v>
      </c>
      <c r="K115" s="50">
        <v>0.03648148148148148</v>
      </c>
    </row>
    <row r="116" spans="1:11" ht="15" customHeight="1">
      <c r="A116" s="5">
        <v>17</v>
      </c>
      <c r="B116" s="13">
        <v>50</v>
      </c>
      <c r="C116" s="45" t="str">
        <f>_xlfn.IFERROR(__xludf.DUMMYFUNCTION("""COMPUTED_VALUE"""),"SIVUĽKOVÁ")</f>
        <v>SIVUĽKOVÁ</v>
      </c>
      <c r="D116" s="40" t="s">
        <v>20</v>
      </c>
      <c r="E116" s="7" t="s">
        <v>11</v>
      </c>
      <c r="F116" s="32" t="s">
        <v>23</v>
      </c>
      <c r="G116" s="27">
        <f>_xlfn.IFERROR(__xludf.DUMMYFUNCTION("""COMPUTED_VALUE"""),1982)</f>
        <v>1982</v>
      </c>
      <c r="H116" s="38" t="str">
        <f>_xlfn.IFERROR(__xludf.DUMMYFUNCTION("""COMPUTED_VALUE"""),"Maras team")</f>
        <v>Maras team</v>
      </c>
      <c r="I116" s="14" t="str">
        <f t="shared" si="4"/>
        <v>F</v>
      </c>
      <c r="J116" s="12">
        <f>COUNTIF(I$6:I116,I116)</f>
        <v>17</v>
      </c>
      <c r="K116" s="50">
        <v>0.03684027777777778</v>
      </c>
    </row>
    <row r="117" spans="1:11" ht="15" customHeight="1">
      <c r="A117" s="10">
        <v>18</v>
      </c>
      <c r="B117" s="13">
        <v>100</v>
      </c>
      <c r="C117" s="45" t="str">
        <f>_xlfn.IFERROR(__xludf.DUMMYFUNCTION("""COMPUTED_VALUE"""),"JONEKOVÁ")</f>
        <v>JONEKOVÁ</v>
      </c>
      <c r="D117" s="40" t="str">
        <f>_xlfn.IFERROR(__xludf.DUMMYFUNCTION("""COMPUTED_VALUE"""),"Lenka")</f>
        <v>Lenka</v>
      </c>
      <c r="E117" s="7" t="s">
        <v>11</v>
      </c>
      <c r="F117" s="32" t="s">
        <v>23</v>
      </c>
      <c r="G117" s="27">
        <f>_xlfn.IFERROR(__xludf.DUMMYFUNCTION("""COMPUTED_VALUE"""),1985)</f>
        <v>1985</v>
      </c>
      <c r="H117" s="38" t="str">
        <f>_xlfn.IFERROR(__xludf.DUMMYFUNCTION("""COMPUTED_VALUE"""),"Run 4 Fun Kazimír ")</f>
        <v>Run 4 Fun Kazimír </v>
      </c>
      <c r="I117" s="14" t="str">
        <f t="shared" si="4"/>
        <v>F</v>
      </c>
      <c r="J117" s="12">
        <f>COUNTIF(I$6:I117,I117)</f>
        <v>18</v>
      </c>
      <c r="K117" s="50">
        <v>0.03685185185185185</v>
      </c>
    </row>
    <row r="118" spans="1:11" ht="15" customHeight="1">
      <c r="A118" s="5">
        <v>19</v>
      </c>
      <c r="B118" s="13">
        <v>26</v>
      </c>
      <c r="C118" s="46" t="str">
        <f>_xlfn.IFERROR(__xludf.DUMMYFUNCTION("""COMPUTED_VALUE"""),"REPKOVÁ")</f>
        <v>REPKOVÁ</v>
      </c>
      <c r="D118" s="41" t="str">
        <f>_xlfn.IFERROR(__xludf.DUMMYFUNCTION("""COMPUTED_VALUE"""),"Radka")</f>
        <v>Radka</v>
      </c>
      <c r="E118" s="7" t="s">
        <v>11</v>
      </c>
      <c r="F118" s="31" t="s">
        <v>23</v>
      </c>
      <c r="G118" s="26">
        <f>_xlfn.IFERROR(__xludf.DUMMYFUNCTION("""COMPUTED_VALUE"""),1990)</f>
        <v>1990</v>
      </c>
      <c r="H118" s="37" t="str">
        <f>_xlfn.IFERROR(__xludf.DUMMYFUNCTION("""COMPUTED_VALUE"""),"Prešov")</f>
        <v>Prešov</v>
      </c>
      <c r="I118" s="14" t="str">
        <f t="shared" si="4"/>
        <v>F</v>
      </c>
      <c r="J118" s="12">
        <f>COUNTIF(I$6:I118,I118)</f>
        <v>19</v>
      </c>
      <c r="K118" s="50">
        <v>0.03753472222222222</v>
      </c>
    </row>
    <row r="119" spans="1:11" ht="15" customHeight="1">
      <c r="A119" s="10">
        <v>20</v>
      </c>
      <c r="B119" s="13">
        <v>57</v>
      </c>
      <c r="C119" s="44" t="s">
        <v>67</v>
      </c>
      <c r="D119" s="42" t="s">
        <v>68</v>
      </c>
      <c r="E119" s="7" t="s">
        <v>11</v>
      </c>
      <c r="F119" s="13" t="s">
        <v>23</v>
      </c>
      <c r="G119" s="28">
        <v>1994</v>
      </c>
      <c r="H119" s="39" t="s">
        <v>26</v>
      </c>
      <c r="I119" s="14" t="str">
        <f t="shared" si="4"/>
        <v>F</v>
      </c>
      <c r="J119" s="12">
        <f>COUNTIF(I$6:I119,I119)</f>
        <v>20</v>
      </c>
      <c r="K119" s="50">
        <v>0.03982638888888889</v>
      </c>
    </row>
    <row r="120" spans="1:11" ht="15" customHeight="1">
      <c r="A120" s="5">
        <v>21</v>
      </c>
      <c r="B120" s="13">
        <v>37</v>
      </c>
      <c r="C120" s="35" t="str">
        <f>_xlfn.IFERROR(__xludf.DUMMYFUNCTION("""COMPUTED_VALUE"""),"KASPAROVA")</f>
        <v>KASPAROVA</v>
      </c>
      <c r="D120" s="41" t="str">
        <f>_xlfn.IFERROR(__xludf.DUMMYFUNCTION("""COMPUTED_VALUE"""),"Katarina")</f>
        <v>Katarina</v>
      </c>
      <c r="E120" s="7" t="s">
        <v>11</v>
      </c>
      <c r="F120" s="31" t="s">
        <v>23</v>
      </c>
      <c r="G120" s="26">
        <f>_xlfn.IFERROR(__xludf.DUMMYFUNCTION("""COMPUTED_VALUE"""),1988)</f>
        <v>1988</v>
      </c>
      <c r="H120" s="41" t="str">
        <f>_xlfn.IFERROR(__xludf.DUMMYFUNCTION("""COMPUTED_VALUE"""),"Prešov")</f>
        <v>Prešov</v>
      </c>
      <c r="I120" s="12" t="str">
        <f t="shared" si="4"/>
        <v>F</v>
      </c>
      <c r="J120" s="12">
        <f>COUNTIF(I$6:I120,I120)</f>
        <v>21</v>
      </c>
      <c r="K120" s="50">
        <v>0.04023148148148148</v>
      </c>
    </row>
    <row r="121" spans="1:11" s="3" customFormat="1" ht="29.25" customHeight="1">
      <c r="A121" s="172" t="s">
        <v>106</v>
      </c>
      <c r="B121" s="172"/>
      <c r="C121" s="172"/>
      <c r="D121" s="147"/>
      <c r="E121" s="140"/>
      <c r="F121" s="148"/>
      <c r="G121" s="149"/>
      <c r="H121" s="147"/>
      <c r="I121" s="15"/>
      <c r="J121" s="15"/>
      <c r="K121" s="143"/>
    </row>
    <row r="122" spans="1:11" s="74" customFormat="1" ht="15" customHeight="1">
      <c r="A122" s="82">
        <v>1</v>
      </c>
      <c r="B122" s="75">
        <v>28</v>
      </c>
      <c r="C122" s="157" t="str">
        <f>_xlfn.IFERROR(__xludf.DUMMYFUNCTION("""COMPUTED_VALUE"""),"KARPJÁKOVÁ")</f>
        <v>KARPJÁKOVÁ</v>
      </c>
      <c r="D122" s="84" t="str">
        <f>_xlfn.IFERROR(__xludf.DUMMYFUNCTION("""COMPUTED_VALUE"""),"Diana")</f>
        <v>Diana</v>
      </c>
      <c r="E122" s="78" t="s">
        <v>11</v>
      </c>
      <c r="F122" s="85" t="s">
        <v>23</v>
      </c>
      <c r="G122" s="86">
        <f>_xlfn.IFERROR(__xludf.DUMMYFUNCTION("""COMPUTED_VALUE"""),1975)</f>
        <v>1975</v>
      </c>
      <c r="H122" s="84" t="str">
        <f>_xlfn.IFERROR(__xludf.DUMMYFUNCTION("""COMPUTED_VALUE"""),"MARAS team")</f>
        <v>MARAS team</v>
      </c>
      <c r="I122" s="81" t="str">
        <f aca="true" t="shared" si="5" ref="I122:I134">IF(F122="m",IF($G$1-$G122&lt;=17,"JM",IF($G$1-$G122&lt;=39,"A",IF($G$1-$G122&lt;=49,"B",IF($G$1-$G122&lt;=59,"C",IF($G$1-$G122&lt;=69,"D","E"))))),IF($G$1-$G122&lt;=17,"JŽ",IF($G$1-$G122&lt;=39,"F",IF($G$1-$G122&lt;=49,"G",IF($G$1-$G122&lt;=59,"H","I")))))</f>
        <v>G</v>
      </c>
      <c r="J122" s="81">
        <f>COUNTIF(I$6:I122,I122)</f>
        <v>1</v>
      </c>
      <c r="K122" s="73">
        <v>0.025995370370370367</v>
      </c>
    </row>
    <row r="123" spans="1:11" s="104" customFormat="1" ht="15" customHeight="1">
      <c r="A123" s="94">
        <v>2</v>
      </c>
      <c r="B123" s="95">
        <v>106</v>
      </c>
      <c r="C123" s="152" t="str">
        <f>_xlfn.IFERROR(__xludf.DUMMYFUNCTION("""COMPUTED_VALUE"""),"KOVALÍKOVÁ")</f>
        <v>KOVALÍKOVÁ</v>
      </c>
      <c r="D123" s="112" t="str">
        <f>_xlfn.IFERROR(__xludf.DUMMYFUNCTION("""COMPUTED_VALUE"""),"Martina")</f>
        <v>Martina</v>
      </c>
      <c r="E123" s="98" t="s">
        <v>11</v>
      </c>
      <c r="F123" s="113" t="s">
        <v>23</v>
      </c>
      <c r="G123" s="114">
        <f>_xlfn.IFERROR(__xludf.DUMMYFUNCTION("""COMPUTED_VALUE"""),1977)</f>
        <v>1977</v>
      </c>
      <c r="H123" s="112" t="str">
        <f>_xlfn.IFERROR(__xludf.DUMMYFUNCTION("""COMPUTED_VALUE"""),"Prešov")</f>
        <v>Prešov</v>
      </c>
      <c r="I123" s="102" t="str">
        <f t="shared" si="5"/>
        <v>G</v>
      </c>
      <c r="J123" s="102">
        <f>COUNTIF(I$6:I123,I123)</f>
        <v>2</v>
      </c>
      <c r="K123" s="103">
        <v>0.026863425925925926</v>
      </c>
    </row>
    <row r="124" spans="1:11" s="127" customFormat="1" ht="15" customHeight="1">
      <c r="A124" s="133">
        <v>3</v>
      </c>
      <c r="B124" s="117">
        <v>74</v>
      </c>
      <c r="C124" s="151" t="s">
        <v>75</v>
      </c>
      <c r="D124" s="135" t="s">
        <v>76</v>
      </c>
      <c r="E124" s="120" t="s">
        <v>11</v>
      </c>
      <c r="F124" s="117" t="s">
        <v>23</v>
      </c>
      <c r="G124" s="136">
        <v>1979</v>
      </c>
      <c r="H124" s="135" t="s">
        <v>77</v>
      </c>
      <c r="I124" s="125" t="str">
        <f t="shared" si="5"/>
        <v>G</v>
      </c>
      <c r="J124" s="125">
        <f>COUNTIF(I$6:I124,I124)</f>
        <v>3</v>
      </c>
      <c r="K124" s="126">
        <v>0.027476851851851853</v>
      </c>
    </row>
    <row r="125" spans="1:11" ht="15" customHeight="1">
      <c r="A125" s="5">
        <v>4</v>
      </c>
      <c r="B125" s="13">
        <v>130</v>
      </c>
      <c r="C125" s="44" t="s">
        <v>98</v>
      </c>
      <c r="D125" s="42" t="s">
        <v>76</v>
      </c>
      <c r="E125" s="7" t="s">
        <v>11</v>
      </c>
      <c r="F125" s="13" t="s">
        <v>23</v>
      </c>
      <c r="G125" s="28">
        <v>1980</v>
      </c>
      <c r="H125" s="39" t="s">
        <v>26</v>
      </c>
      <c r="I125" s="14" t="str">
        <f t="shared" si="5"/>
        <v>G</v>
      </c>
      <c r="J125" s="12">
        <f>COUNTIF(I$6:I125,I125)</f>
        <v>4</v>
      </c>
      <c r="K125" s="50">
        <v>0.03236111111111111</v>
      </c>
    </row>
    <row r="126" spans="1:11" ht="15" customHeight="1">
      <c r="A126" s="10">
        <v>5</v>
      </c>
      <c r="B126" s="13">
        <v>8</v>
      </c>
      <c r="C126" s="46" t="str">
        <f>_xlfn.IFERROR(__xludf.DUMMYFUNCTION("""COMPUTED_VALUE"""),"KUROPČÁKOVÁ")</f>
        <v>KUROPČÁKOVÁ</v>
      </c>
      <c r="D126" s="41" t="str">
        <f>_xlfn.IFERROR(__xludf.DUMMYFUNCTION("""COMPUTED_VALUE"""),"Martina")</f>
        <v>Martina</v>
      </c>
      <c r="E126" s="7" t="s">
        <v>11</v>
      </c>
      <c r="F126" s="31" t="s">
        <v>23</v>
      </c>
      <c r="G126" s="26">
        <f>_xlfn.IFERROR(__xludf.DUMMYFUNCTION("""COMPUTED_VALUE"""),1976)</f>
        <v>1976</v>
      </c>
      <c r="H126" s="37" t="str">
        <f>_xlfn.IFERROR(__xludf.DUMMYFUNCTION("""COMPUTED_VALUE"""),"Prešov")</f>
        <v>Prešov</v>
      </c>
      <c r="I126" s="14" t="str">
        <f t="shared" si="5"/>
        <v>G</v>
      </c>
      <c r="J126" s="12">
        <f>COUNTIF(I$6:I126,I126)</f>
        <v>5</v>
      </c>
      <c r="K126" s="50">
        <v>0.033229166666666664</v>
      </c>
    </row>
    <row r="127" spans="1:11" ht="15" customHeight="1">
      <c r="A127" s="5">
        <v>6</v>
      </c>
      <c r="B127" s="13">
        <v>35</v>
      </c>
      <c r="C127" s="46" t="str">
        <f>_xlfn.IFERROR(__xludf.DUMMYFUNCTION("""COMPUTED_VALUE"""),"JANIČKOVÁ")</f>
        <v>JANIČKOVÁ</v>
      </c>
      <c r="D127" s="41" t="str">
        <f>_xlfn.IFERROR(__xludf.DUMMYFUNCTION("""COMPUTED_VALUE"""),"Miroslava")</f>
        <v>Miroslava</v>
      </c>
      <c r="E127" s="7" t="s">
        <v>11</v>
      </c>
      <c r="F127" s="31" t="s">
        <v>23</v>
      </c>
      <c r="G127" s="26">
        <f>_xlfn.IFERROR(__xludf.DUMMYFUNCTION("""COMPUTED_VALUE"""),1976)</f>
        <v>1976</v>
      </c>
      <c r="H127" s="37" t="str">
        <f>_xlfn.IFERROR(__xludf.DUMMYFUNCTION("""COMPUTED_VALUE"""),"Prešov")</f>
        <v>Prešov</v>
      </c>
      <c r="I127" s="14" t="str">
        <f t="shared" si="5"/>
        <v>G</v>
      </c>
      <c r="J127" s="12">
        <f>COUNTIF(I$6:I127,I127)</f>
        <v>6</v>
      </c>
      <c r="K127" s="50">
        <v>0.03328703703703704</v>
      </c>
    </row>
    <row r="128" spans="1:11" ht="15" customHeight="1">
      <c r="A128" s="10">
        <v>7</v>
      </c>
      <c r="B128" s="13">
        <v>60</v>
      </c>
      <c r="C128" s="45" t="str">
        <f>_xlfn.IFERROR(__xludf.DUMMYFUNCTION("""COMPUTED_VALUE"""),"DOVALOVÁ")</f>
        <v>DOVALOVÁ</v>
      </c>
      <c r="D128" s="40" t="str">
        <f>_xlfn.IFERROR(__xludf.DUMMYFUNCTION("""COMPUTED_VALUE"""),"Zuzana")</f>
        <v>Zuzana</v>
      </c>
      <c r="E128" s="7" t="s">
        <v>11</v>
      </c>
      <c r="F128" s="32" t="s">
        <v>23</v>
      </c>
      <c r="G128" s="27">
        <f>_xlfn.IFERROR(__xludf.DUMMYFUNCTION("""COMPUTED_VALUE"""),1973)</f>
        <v>1973</v>
      </c>
      <c r="H128" s="38" t="str">
        <f>_xlfn.IFERROR(__xludf.DUMMYFUNCTION("""COMPUTED_VALUE"""),"Lektvare Levoča")</f>
        <v>Lektvare Levoča</v>
      </c>
      <c r="I128" s="14" t="str">
        <f t="shared" si="5"/>
        <v>G</v>
      </c>
      <c r="J128" s="12">
        <f>COUNTIF(I$6:I128,I128)</f>
        <v>7</v>
      </c>
      <c r="K128" s="50">
        <v>0.03540509259259259</v>
      </c>
    </row>
    <row r="129" spans="1:11" ht="15" customHeight="1">
      <c r="A129" s="5">
        <v>8</v>
      </c>
      <c r="B129" s="13">
        <v>134</v>
      </c>
      <c r="C129" s="45" t="str">
        <f>_xlfn.IFERROR(__xludf.DUMMYFUNCTION("""COMPUTED_VALUE"""),"GYORIOVÁ")</f>
        <v>GYORIOVÁ</v>
      </c>
      <c r="D129" s="40" t="str">
        <f>_xlfn.IFERROR(__xludf.DUMMYFUNCTION("""COMPUTED_VALUE"""),"Monika")</f>
        <v>Monika</v>
      </c>
      <c r="E129" s="7" t="s">
        <v>11</v>
      </c>
      <c r="F129" s="32" t="s">
        <v>23</v>
      </c>
      <c r="G129" s="27">
        <f>_xlfn.IFERROR(__xludf.DUMMYFUNCTION("""COMPUTED_VALUE"""),1979)</f>
        <v>1979</v>
      </c>
      <c r="H129" s="38" t="str">
        <f>_xlfn.IFERROR(__xludf.DUMMYFUNCTION("""COMPUTED_VALUE"""),"Active life ")</f>
        <v>Active life </v>
      </c>
      <c r="I129" s="14" t="str">
        <f t="shared" si="5"/>
        <v>G</v>
      </c>
      <c r="J129" s="12">
        <f>COUNTIF(I$6:I129,I129)</f>
        <v>8</v>
      </c>
      <c r="K129" s="50">
        <v>0.03547453703703704</v>
      </c>
    </row>
    <row r="130" spans="1:11" ht="15" customHeight="1">
      <c r="A130" s="10">
        <v>9</v>
      </c>
      <c r="B130" s="13">
        <v>20</v>
      </c>
      <c r="C130" s="45" t="str">
        <f>_xlfn.IFERROR(__xludf.DUMMYFUNCTION("""COMPUTED_VALUE"""),"JENCIKOVA")</f>
        <v>JENCIKOVA</v>
      </c>
      <c r="D130" s="40" t="str">
        <f>_xlfn.IFERROR(__xludf.DUMMYFUNCTION("""COMPUTED_VALUE"""),"Marianna")</f>
        <v>Marianna</v>
      </c>
      <c r="E130" s="7" t="s">
        <v>11</v>
      </c>
      <c r="F130" s="32" t="s">
        <v>23</v>
      </c>
      <c r="G130" s="27">
        <f>_xlfn.IFERROR(__xludf.DUMMYFUNCTION("""COMPUTED_VALUE"""),1980)</f>
        <v>1980</v>
      </c>
      <c r="H130" s="38" t="str">
        <f>_xlfn.IFERROR(__xludf.DUMMYFUNCTION("""COMPUTED_VALUE"""),"Prešov")</f>
        <v>Prešov</v>
      </c>
      <c r="I130" s="14" t="str">
        <f t="shared" si="5"/>
        <v>G</v>
      </c>
      <c r="J130" s="12">
        <f>COUNTIF(I$6:I130,I130)</f>
        <v>9</v>
      </c>
      <c r="K130" s="50">
        <v>0.03633101851851852</v>
      </c>
    </row>
    <row r="131" spans="1:11" ht="15" customHeight="1">
      <c r="A131" s="5">
        <v>10</v>
      </c>
      <c r="B131" s="13">
        <v>32</v>
      </c>
      <c r="C131" s="46" t="str">
        <f>_xlfn.IFERROR(__xludf.DUMMYFUNCTION("""COMPUTED_VALUE"""),"DAŇKOVÁ")</f>
        <v>DAŇKOVÁ</v>
      </c>
      <c r="D131" s="41" t="str">
        <f>_xlfn.IFERROR(__xludf.DUMMYFUNCTION("""COMPUTED_VALUE"""),"Andrea")</f>
        <v>Andrea</v>
      </c>
      <c r="E131" s="7" t="s">
        <v>11</v>
      </c>
      <c r="F131" s="31" t="s">
        <v>23</v>
      </c>
      <c r="G131" s="26">
        <f>_xlfn.IFERROR(__xludf.DUMMYFUNCTION("""COMPUTED_VALUE"""),1977)</f>
        <v>1977</v>
      </c>
      <c r="H131" s="37" t="str">
        <f>_xlfn.IFERROR(__xludf.DUMMYFUNCTION("""COMPUTED_VALUE"""),"MARAS team")</f>
        <v>MARAS team</v>
      </c>
      <c r="I131" s="14" t="str">
        <f t="shared" si="5"/>
        <v>G</v>
      </c>
      <c r="J131" s="12">
        <f>COUNTIF(I$6:I131,I131)</f>
        <v>10</v>
      </c>
      <c r="K131" s="50">
        <v>0.03846064814814815</v>
      </c>
    </row>
    <row r="132" spans="1:11" ht="15" customHeight="1">
      <c r="A132" s="5">
        <v>11</v>
      </c>
      <c r="B132" s="13">
        <v>59</v>
      </c>
      <c r="C132" s="34" t="str">
        <f>_xlfn.IFERROR(__xludf.DUMMYFUNCTION("""COMPUTED_VALUE"""),"PETROVIČOVÁ")</f>
        <v>PETROVIČOVÁ</v>
      </c>
      <c r="D132" s="40" t="str">
        <f>_xlfn.IFERROR(__xludf.DUMMYFUNCTION("""COMPUTED_VALUE"""),"Ingrid")</f>
        <v>Ingrid</v>
      </c>
      <c r="E132" s="7" t="s">
        <v>11</v>
      </c>
      <c r="F132" s="32" t="s">
        <v>23</v>
      </c>
      <c r="G132" s="27">
        <f>_xlfn.IFERROR(__xludf.DUMMYFUNCTION("""COMPUTED_VALUE"""),1972)</f>
        <v>1972</v>
      </c>
      <c r="H132" s="40" t="str">
        <f>_xlfn.IFERROR(__xludf.DUMMYFUNCTION("""COMPUTED_VALUE"""),"Lektvare ")</f>
        <v>Lektvare </v>
      </c>
      <c r="I132" s="12" t="str">
        <f t="shared" si="5"/>
        <v>G</v>
      </c>
      <c r="J132" s="12">
        <f>COUNTIF(I$6:I132,I132)</f>
        <v>11</v>
      </c>
      <c r="K132" s="50">
        <v>0.03868055555555556</v>
      </c>
    </row>
    <row r="133" spans="1:11" ht="15" customHeight="1">
      <c r="A133" s="5">
        <v>12</v>
      </c>
      <c r="B133" s="13">
        <v>44</v>
      </c>
      <c r="C133" s="35" t="str">
        <f>_xlfn.IFERROR(__xludf.DUMMYFUNCTION("""COMPUTED_VALUE"""),"TROJČÁKOVÁ")</f>
        <v>TROJČÁKOVÁ</v>
      </c>
      <c r="D133" s="41" t="str">
        <f>_xlfn.IFERROR(__xludf.DUMMYFUNCTION("""COMPUTED_VALUE"""),"Zuzana")</f>
        <v>Zuzana</v>
      </c>
      <c r="E133" s="7" t="s">
        <v>11</v>
      </c>
      <c r="F133" s="31" t="s">
        <v>23</v>
      </c>
      <c r="G133" s="26">
        <f>_xlfn.IFERROR(__xludf.DUMMYFUNCTION("""COMPUTED_VALUE"""),1975)</f>
        <v>1975</v>
      </c>
      <c r="H133" s="41" t="str">
        <f>_xlfn.IFERROR(__xludf.DUMMYFUNCTION("""COMPUTED_VALUE"""),"Kostoľany nad Hornádom")</f>
        <v>Kostoľany nad Hornádom</v>
      </c>
      <c r="I133" s="12" t="str">
        <f t="shared" si="5"/>
        <v>G</v>
      </c>
      <c r="J133" s="12">
        <f>COUNTIF(I$6:I133,I133)</f>
        <v>12</v>
      </c>
      <c r="K133" s="50">
        <v>0.03928240740740741</v>
      </c>
    </row>
    <row r="134" spans="1:11" ht="15" customHeight="1">
      <c r="A134" s="5">
        <v>13</v>
      </c>
      <c r="B134" s="13">
        <v>97</v>
      </c>
      <c r="C134" s="34" t="str">
        <f>_xlfn.IFERROR(__xludf.DUMMYFUNCTION("""COMPUTED_VALUE"""),"TOMÁŠOVA")</f>
        <v>TOMÁŠOVA</v>
      </c>
      <c r="D134" s="40" t="str">
        <f>_xlfn.IFERROR(__xludf.DUMMYFUNCTION("""COMPUTED_VALUE"""),"Hedviga")</f>
        <v>Hedviga</v>
      </c>
      <c r="E134" s="7" t="s">
        <v>11</v>
      </c>
      <c r="F134" s="32" t="s">
        <v>23</v>
      </c>
      <c r="G134" s="27">
        <f>_xlfn.IFERROR(__xludf.DUMMYFUNCTION("""COMPUTED_VALUE"""),1973)</f>
        <v>1973</v>
      </c>
      <c r="H134" s="40" t="str">
        <f>_xlfn.IFERROR(__xludf.DUMMYFUNCTION("""COMPUTED_VALUE"""),"3MR sport")</f>
        <v>3MR sport</v>
      </c>
      <c r="I134" s="12" t="str">
        <f t="shared" si="5"/>
        <v>G</v>
      </c>
      <c r="J134" s="12">
        <f>COUNTIF(I$6:I134,I134)</f>
        <v>13</v>
      </c>
      <c r="K134" s="50">
        <v>0.0430787037037037</v>
      </c>
    </row>
    <row r="135" spans="1:11" s="3" customFormat="1" ht="31.5" customHeight="1">
      <c r="A135" s="172" t="s">
        <v>107</v>
      </c>
      <c r="B135" s="172"/>
      <c r="C135" s="172"/>
      <c r="D135" s="139"/>
      <c r="E135" s="140"/>
      <c r="F135" s="141"/>
      <c r="G135" s="142"/>
      <c r="H135" s="139"/>
      <c r="I135" s="15"/>
      <c r="J135" s="15"/>
      <c r="K135" s="143"/>
    </row>
    <row r="136" spans="1:11" s="74" customFormat="1" ht="15" customHeight="1">
      <c r="A136" s="82">
        <v>1</v>
      </c>
      <c r="B136" s="75">
        <v>46</v>
      </c>
      <c r="C136" s="158" t="str">
        <f>_xlfn.IFERROR(__xludf.DUMMYFUNCTION("""COMPUTED_VALUE"""),"JENDRICHOVSKÁ")</f>
        <v>JENDRICHOVSKÁ</v>
      </c>
      <c r="D136" s="90" t="str">
        <f>_xlfn.IFERROR(__xludf.DUMMYFUNCTION("""COMPUTED_VALUE"""),"Danka")</f>
        <v>Danka</v>
      </c>
      <c r="E136" s="78" t="s">
        <v>11</v>
      </c>
      <c r="F136" s="91" t="s">
        <v>23</v>
      </c>
      <c r="G136" s="92">
        <f>_xlfn.IFERROR(__xludf.DUMMYFUNCTION("""COMPUTED_VALUE"""),1967)</f>
        <v>1967</v>
      </c>
      <c r="H136" s="90" t="str">
        <f>_xlfn.IFERROR(__xludf.DUMMYFUNCTION("""COMPUTED_VALUE"""),"TTTrend")</f>
        <v>TTTrend</v>
      </c>
      <c r="I136" s="81" t="str">
        <f>IF(F136="m",IF($G$1-$G136&lt;=17,"JM",IF($G$1-$G136&lt;=39,"A",IF($G$1-$G136&lt;=49,"B",IF($G$1-$G136&lt;=59,"C",IF($G$1-$G136&lt;=69,"D","E"))))),IF($G$1-$G136&lt;=17,"JŽ",IF($G$1-$G136&lt;=39,"F",IF($G$1-$G136&lt;=49,"G",IF($G$1-$G136&lt;=59,"H","I")))))</f>
        <v>H</v>
      </c>
      <c r="J136" s="81">
        <f>COUNTIF(I$6:I136,I136)</f>
        <v>1</v>
      </c>
      <c r="K136" s="73">
        <v>0.029050925925925928</v>
      </c>
    </row>
    <row r="137" spans="1:11" s="104" customFormat="1" ht="15" customHeight="1">
      <c r="A137" s="94">
        <v>2</v>
      </c>
      <c r="B137" s="95">
        <v>41</v>
      </c>
      <c r="C137" s="145" t="str">
        <f>_xlfn.IFERROR(__xludf.DUMMYFUNCTION("""COMPUTED_VALUE"""),"KRAJŇÁKOVÁ")</f>
        <v>KRAJŇÁKOVÁ</v>
      </c>
      <c r="D137" s="106" t="str">
        <f>_xlfn.IFERROR(__xludf.DUMMYFUNCTION("""COMPUTED_VALUE"""),"Katarína")</f>
        <v>Katarína</v>
      </c>
      <c r="E137" s="98" t="s">
        <v>11</v>
      </c>
      <c r="F137" s="107" t="s">
        <v>23</v>
      </c>
      <c r="G137" s="108">
        <f>_xlfn.IFERROR(__xludf.DUMMYFUNCTION("""COMPUTED_VALUE"""),1967)</f>
        <v>1967</v>
      </c>
      <c r="H137" s="106" t="str">
        <f>_xlfn.IFERROR(__xludf.DUMMYFUNCTION("""COMPUTED_VALUE"""),"MARAS team")</f>
        <v>MARAS team</v>
      </c>
      <c r="I137" s="102" t="str">
        <f>IF(F137="m",IF($G$1-$G137&lt;=17,"JM",IF($G$1-$G137&lt;=39,"A",IF($G$1-$G137&lt;=49,"B",IF($G$1-$G137&lt;=59,"C",IF($G$1-$G137&lt;=69,"D","E"))))),IF($G$1-$G137&lt;=17,"JŽ",IF($G$1-$G137&lt;=39,"F",IF($G$1-$G137&lt;=49,"G",IF($G$1-$G137&lt;=59,"H","I")))))</f>
        <v>H</v>
      </c>
      <c r="J137" s="102">
        <f>COUNTIF(I$6:I137,I137)</f>
        <v>2</v>
      </c>
      <c r="K137" s="103">
        <v>0.03107638888888889</v>
      </c>
    </row>
    <row r="138" spans="1:11" s="127" customFormat="1" ht="15" customHeight="1">
      <c r="A138" s="133">
        <v>3</v>
      </c>
      <c r="B138" s="117">
        <v>9</v>
      </c>
      <c r="C138" s="159" t="str">
        <f>_xlfn.IFERROR(__xludf.DUMMYFUNCTION("""COMPUTED_VALUE"""),"MEDVECKOVÁ")</f>
        <v>MEDVECKOVÁ</v>
      </c>
      <c r="D138" s="119" t="str">
        <f>_xlfn.IFERROR(__xludf.DUMMYFUNCTION("""COMPUTED_VALUE"""),"Terézia")</f>
        <v>Terézia</v>
      </c>
      <c r="E138" s="120" t="s">
        <v>11</v>
      </c>
      <c r="F138" s="121" t="s">
        <v>23</v>
      </c>
      <c r="G138" s="122">
        <f>_xlfn.IFERROR(__xludf.DUMMYFUNCTION("""COMPUTED_VALUE"""),1966)</f>
        <v>1966</v>
      </c>
      <c r="H138" s="119" t="str">
        <f>_xlfn.IFERROR(__xludf.DUMMYFUNCTION("""COMPUTED_VALUE"""),"MARAS team")</f>
        <v>MARAS team</v>
      </c>
      <c r="I138" s="125" t="str">
        <f>IF(F138="m",IF($G$1-$G138&lt;=17,"JM",IF($G$1-$G138&lt;=39,"A",IF($G$1-$G138&lt;=49,"B",IF($G$1-$G138&lt;=59,"C",IF($G$1-$G138&lt;=69,"D","E"))))),IF($G$1-$G138&lt;=17,"JŽ",IF($G$1-$G138&lt;=39,"F",IF($G$1-$G138&lt;=49,"G",IF($G$1-$G138&lt;=59,"H","I")))))</f>
        <v>H</v>
      </c>
      <c r="J138" s="125">
        <f>COUNTIF(I$6:I138,I138)</f>
        <v>3</v>
      </c>
      <c r="K138" s="126">
        <v>0.03179398148148148</v>
      </c>
    </row>
    <row r="139" spans="1:11" ht="15" customHeight="1">
      <c r="A139" s="5">
        <v>4</v>
      </c>
      <c r="B139" s="13">
        <v>137</v>
      </c>
      <c r="C139" s="34" t="str">
        <f>_xlfn.IFERROR(__xludf.DUMMYFUNCTION("""COMPUTED_VALUE"""),"IHNATOVÁ")</f>
        <v>IHNATOVÁ</v>
      </c>
      <c r="D139" s="40" t="str">
        <f>_xlfn.IFERROR(__xludf.DUMMYFUNCTION("""COMPUTED_VALUE"""),"Monika")</f>
        <v>Monika</v>
      </c>
      <c r="E139" s="7" t="s">
        <v>11</v>
      </c>
      <c r="F139" s="32" t="s">
        <v>23</v>
      </c>
      <c r="G139" s="27">
        <f>_xlfn.IFERROR(__xludf.DUMMYFUNCTION("""COMPUTED_VALUE"""),1967)</f>
        <v>1967</v>
      </c>
      <c r="H139" s="40" t="str">
        <f>_xlfn.IFERROR(__xludf.DUMMYFUNCTION("""COMPUTED_VALUE"""),"MARAS team")</f>
        <v>MARAS team</v>
      </c>
      <c r="I139" s="12" t="str">
        <f>IF(F139="m",IF($G$1-$G139&lt;=17,"JM",IF($G$1-$G139&lt;=39,"A",IF($G$1-$G139&lt;=49,"B",IF($G$1-$G139&lt;=59,"C",IF($G$1-$G139&lt;=69,"D","E"))))),IF($G$1-$G139&lt;=17,"JŽ",IF($G$1-$G139&lt;=39,"F",IF($G$1-$G139&lt;=49,"G",IF($G$1-$G139&lt;=59,"H","I")))))</f>
        <v>H</v>
      </c>
      <c r="J139" s="12">
        <f>COUNTIF(I$6:I139,I139)</f>
        <v>4</v>
      </c>
      <c r="K139" s="50">
        <v>0.03716435185185185</v>
      </c>
    </row>
    <row r="140" spans="1:11" s="3" customFormat="1" ht="30.75" customHeight="1">
      <c r="A140" s="172" t="s">
        <v>108</v>
      </c>
      <c r="B140" s="172"/>
      <c r="C140" s="172"/>
      <c r="D140" s="139"/>
      <c r="E140" s="140"/>
      <c r="F140" s="141"/>
      <c r="G140" s="142"/>
      <c r="H140" s="139"/>
      <c r="I140" s="15"/>
      <c r="J140" s="15"/>
      <c r="K140" s="143"/>
    </row>
    <row r="141" spans="1:11" s="74" customFormat="1" ht="15" customHeight="1">
      <c r="A141" s="82">
        <v>1</v>
      </c>
      <c r="B141" s="75">
        <v>33</v>
      </c>
      <c r="C141" s="158" t="str">
        <f>_xlfn.IFERROR(__xludf.DUMMYFUNCTION("""COMPUTED_VALUE"""),"CHOVANOVÁ")</f>
        <v>CHOVANOVÁ</v>
      </c>
      <c r="D141" s="90" t="str">
        <f>_xlfn.IFERROR(__xludf.DUMMYFUNCTION("""COMPUTED_VALUE"""),"Erika")</f>
        <v>Erika</v>
      </c>
      <c r="E141" s="78" t="s">
        <v>11</v>
      </c>
      <c r="F141" s="91" t="s">
        <v>23</v>
      </c>
      <c r="G141" s="92">
        <f>_xlfn.IFERROR(__xludf.DUMMYFUNCTION("""COMPUTED_VALUE"""),1958)</f>
        <v>1958</v>
      </c>
      <c r="H141" s="90" t="str">
        <f>_xlfn.IFERROR(__xludf.DUMMYFUNCTION("""COMPUTED_VALUE"""),"Prešov")</f>
        <v>Prešov</v>
      </c>
      <c r="I141" s="81" t="str">
        <f>IF(F141="m",IF($G$1-$G141&lt;=17,"JM",IF($G$1-$G141&lt;=39,"A",IF($G$1-$G141&lt;=49,"B",IF($G$1-$G141&lt;=59,"C",IF($G$1-$G141&lt;=69,"D","E"))))),IF($G$1-$G141&lt;=17,"JŽ",IF($G$1-$G141&lt;=39,"F",IF($G$1-$G141&lt;=49,"G",IF($G$1-$G141&lt;=59,"H","I")))))</f>
        <v>I</v>
      </c>
      <c r="J141" s="81">
        <f>COUNTIF(I$6:I141,I141)</f>
        <v>1</v>
      </c>
      <c r="K141" s="73">
        <v>0.03204861111111111</v>
      </c>
    </row>
    <row r="142" spans="1:11" s="104" customFormat="1" ht="14.25" customHeight="1">
      <c r="A142" s="94">
        <v>2</v>
      </c>
      <c r="B142" s="95">
        <v>72</v>
      </c>
      <c r="C142" s="150" t="s">
        <v>111</v>
      </c>
      <c r="D142" s="97" t="s">
        <v>61</v>
      </c>
      <c r="E142" s="98" t="s">
        <v>11</v>
      </c>
      <c r="F142" s="95" t="s">
        <v>23</v>
      </c>
      <c r="G142" s="99">
        <v>1959</v>
      </c>
      <c r="H142" s="97" t="s">
        <v>74</v>
      </c>
      <c r="I142" s="102" t="str">
        <f>IF(F142="m",IF($G$1-$G142&lt;=17,"JM",IF($G$1-$G142&lt;=39,"A",IF($G$1-$G142&lt;=49,"B",IF($G$1-$G142&lt;=59,"C",IF($G$1-$G142&lt;=69,"D","E"))))),IF($G$1-$G142&lt;=17,"JŽ",IF($G$1-$G142&lt;=39,"F",IF($G$1-$G142&lt;=49,"G",IF($G$1-$G142&lt;=59,"H","I")))))</f>
        <v>I</v>
      </c>
      <c r="J142" s="102">
        <f>COUNTIF(I$6:I142,I142)</f>
        <v>2</v>
      </c>
      <c r="K142" s="103">
        <v>0.03747685185185185</v>
      </c>
    </row>
    <row r="143" spans="1:11" s="127" customFormat="1" ht="16.5" customHeight="1">
      <c r="A143" s="133">
        <v>3</v>
      </c>
      <c r="B143" s="117">
        <v>91</v>
      </c>
      <c r="C143" s="151" t="s">
        <v>90</v>
      </c>
      <c r="D143" s="135" t="s">
        <v>91</v>
      </c>
      <c r="E143" s="120" t="s">
        <v>11</v>
      </c>
      <c r="F143" s="117" t="s">
        <v>23</v>
      </c>
      <c r="G143" s="136">
        <v>1950</v>
      </c>
      <c r="H143" s="135" t="s">
        <v>26</v>
      </c>
      <c r="I143" s="125" t="str">
        <f>IF(F143="m",IF($G$1-$G143&lt;=17,"JM",IF($G$1-$G143&lt;=39,"A",IF($G$1-$G143&lt;=49,"B",IF($G$1-$G143&lt;=59,"C",IF($G$1-$G143&lt;=69,"D","E"))))),IF($G$1-$G143&lt;=17,"JŽ",IF($G$1-$G143&lt;=39,"F",IF($G$1-$G143&lt;=49,"G",IF($G$1-$G143&lt;=59,"H","I")))))</f>
        <v>I</v>
      </c>
      <c r="J143" s="125">
        <f>COUNTIF(I$6:I143,I143)</f>
        <v>3</v>
      </c>
      <c r="K143" s="126">
        <v>0.04133101851851852</v>
      </c>
    </row>
    <row r="144" spans="1:11" s="3" customFormat="1" ht="31.5" customHeight="1">
      <c r="A144" s="172" t="s">
        <v>109</v>
      </c>
      <c r="B144" s="172"/>
      <c r="C144" s="172"/>
      <c r="D144" s="156"/>
      <c r="E144" s="140"/>
      <c r="F144" s="8"/>
      <c r="G144" s="22"/>
      <c r="H144" s="156"/>
      <c r="I144" s="15"/>
      <c r="J144" s="15"/>
      <c r="K144" s="143"/>
    </row>
    <row r="145" spans="1:11" s="74" customFormat="1" ht="15" customHeight="1">
      <c r="A145" s="82">
        <v>1</v>
      </c>
      <c r="B145" s="75">
        <v>80</v>
      </c>
      <c r="C145" s="158" t="str">
        <f>_xlfn.IFERROR(__xludf.DUMMYFUNCTION("""COMPUTED_VALUE"""),"BRODŇANSKÝ")</f>
        <v>BRODŇANSKÝ</v>
      </c>
      <c r="D145" s="90" t="str">
        <f>_xlfn.IFERROR(__xludf.DUMMYFUNCTION("""COMPUTED_VALUE"""),"Dávid")</f>
        <v>Dávid</v>
      </c>
      <c r="E145" s="78" t="s">
        <v>11</v>
      </c>
      <c r="F145" s="91" t="s">
        <v>3</v>
      </c>
      <c r="G145" s="92">
        <f>_xlfn.IFERROR(__xludf.DUMMYFUNCTION("""COMPUTED_VALUE"""),2003)</f>
        <v>2003</v>
      </c>
      <c r="H145" s="90" t="str">
        <f>_xlfn.IFERROR(__xludf.DUMMYFUNCTION("""COMPUTED_VALUE"""),"Biatlon ŠK Prešov")</f>
        <v>Biatlon ŠK Prešov</v>
      </c>
      <c r="I145" s="81" t="str">
        <f>IF(F145="m",IF($G$1-$G145&lt;=17,"JM",IF($G$1-$G145&lt;=39,"A",IF($G$1-$G145&lt;=49,"B",IF($G$1-$G145&lt;=59,"C",IF($G$1-$G145&lt;=69,"D","E"))))),IF($G$1-$G145&lt;=17,"JŽ",IF($G$1-$G145&lt;=39,"F",IF($G$1-$G145&lt;=49,"G",IF($G$1-$G145&lt;=59,"H","I")))))</f>
        <v>JM</v>
      </c>
      <c r="J145" s="81">
        <f>COUNTIF(I$6:I145,I145)</f>
        <v>1</v>
      </c>
      <c r="K145" s="73">
        <v>0.023472222222222217</v>
      </c>
    </row>
    <row r="146" spans="1:11" s="104" customFormat="1" ht="13.5" customHeight="1">
      <c r="A146" s="94">
        <v>2</v>
      </c>
      <c r="B146" s="95">
        <v>120</v>
      </c>
      <c r="C146" s="152" t="str">
        <f>_xlfn.IFERROR(__xludf.DUMMYFUNCTION("""COMPUTED_VALUE"""),"HASSAN")</f>
        <v>HASSAN</v>
      </c>
      <c r="D146" s="112" t="str">
        <f>_xlfn.IFERROR(__xludf.DUMMYFUNCTION("""COMPUTED_VALUE"""),"Jakob")</f>
        <v>Jakob</v>
      </c>
      <c r="E146" s="98" t="s">
        <v>11</v>
      </c>
      <c r="F146" s="113" t="s">
        <v>3</v>
      </c>
      <c r="G146" s="114">
        <f>_xlfn.IFERROR(__xludf.DUMMYFUNCTION("""COMPUTED_VALUE"""),2003)</f>
        <v>2003</v>
      </c>
      <c r="H146" s="112" t="str">
        <f>_xlfn.IFERROR(__xludf.DUMMYFUNCTION("""COMPUTED_VALUE"""),"Mnichov")</f>
        <v>Mnichov</v>
      </c>
      <c r="I146" s="102" t="str">
        <f>IF(F146="m",IF($G$1-$G146&lt;=17,"JM",IF($G$1-$G146&lt;=39,"A",IF($G$1-$G146&lt;=49,"B",IF($G$1-$G146&lt;=59,"C",IF($G$1-$G146&lt;=69,"D","E"))))),IF($G$1-$G146&lt;=17,"JŽ",IF($G$1-$G146&lt;=39,"F",IF($G$1-$G146&lt;=49,"G",IF($G$1-$G146&lt;=59,"H","I")))))</f>
        <v>JM</v>
      </c>
      <c r="J146" s="102">
        <f>COUNTIF(I$6:I146,I146)</f>
        <v>2</v>
      </c>
      <c r="K146" s="103">
        <v>0.027256944444444445</v>
      </c>
    </row>
    <row r="147" spans="1:11" s="127" customFormat="1" ht="15" customHeight="1">
      <c r="A147" s="133">
        <v>3</v>
      </c>
      <c r="B147" s="117">
        <v>24</v>
      </c>
      <c r="C147" s="151" t="s">
        <v>49</v>
      </c>
      <c r="D147" s="135" t="s">
        <v>50</v>
      </c>
      <c r="E147" s="120" t="s">
        <v>11</v>
      </c>
      <c r="F147" s="117" t="s">
        <v>3</v>
      </c>
      <c r="G147" s="136">
        <v>2006</v>
      </c>
      <c r="H147" s="135" t="s">
        <v>26</v>
      </c>
      <c r="I147" s="125" t="str">
        <f>IF(F147="m",IF($G$1-$G147&lt;=17,"JM",IF($G$1-$G147&lt;=39,"A",IF($G$1-$G147&lt;=49,"B",IF($G$1-$G147&lt;=59,"C",IF($G$1-$G147&lt;=69,"D","E"))))),IF($G$1-$G147&lt;=17,"JŽ",IF($G$1-$G147&lt;=39,"F",IF($G$1-$G147&lt;=49,"G",IF($G$1-$G147&lt;=59,"H","I")))))</f>
        <v>JM</v>
      </c>
      <c r="J147" s="125">
        <f>COUNTIF(I$6:I147,I147)</f>
        <v>3</v>
      </c>
      <c r="K147" s="126">
        <v>0.02837962962962963</v>
      </c>
    </row>
    <row r="148" spans="1:11" ht="15" customHeight="1">
      <c r="A148" s="5">
        <v>4</v>
      </c>
      <c r="B148" s="13">
        <v>122</v>
      </c>
      <c r="C148" s="36" t="s">
        <v>24</v>
      </c>
      <c r="D148" s="42" t="s">
        <v>28</v>
      </c>
      <c r="E148" s="7" t="s">
        <v>11</v>
      </c>
      <c r="F148" s="13" t="s">
        <v>3</v>
      </c>
      <c r="G148" s="28">
        <v>2010</v>
      </c>
      <c r="H148" s="42" t="s">
        <v>26</v>
      </c>
      <c r="I148" s="12" t="str">
        <f>IF(F148="m",IF($G$1-$G148&lt;=17,"JM",IF($G$1-$G148&lt;=39,"A",IF($G$1-$G148&lt;=49,"B",IF($G$1-$G148&lt;=59,"C",IF($G$1-$G148&lt;=69,"D","E"))))),IF($G$1-$G148&lt;=17,"JŽ",IF($G$1-$G148&lt;=39,"F",IF($G$1-$G148&lt;=49,"G",IF($G$1-$G148&lt;=59,"H","I")))))</f>
        <v>JM</v>
      </c>
      <c r="J148" s="12">
        <f>COUNTIF(I$6:I148,I148)</f>
        <v>4</v>
      </c>
      <c r="K148" s="50">
        <v>0.03364583333333333</v>
      </c>
    </row>
    <row r="149" spans="1:11" s="3" customFormat="1" ht="30" customHeight="1">
      <c r="A149" s="172" t="s">
        <v>110</v>
      </c>
      <c r="B149" s="172"/>
      <c r="C149" s="172"/>
      <c r="D149" s="156"/>
      <c r="E149" s="140"/>
      <c r="F149" s="8"/>
      <c r="G149" s="22"/>
      <c r="H149" s="156"/>
      <c r="I149" s="15"/>
      <c r="J149" s="15"/>
      <c r="K149" s="143"/>
    </row>
    <row r="150" spans="1:11" s="74" customFormat="1" ht="15" customHeight="1">
      <c r="A150" s="82">
        <v>1</v>
      </c>
      <c r="B150" s="75">
        <v>65</v>
      </c>
      <c r="C150" s="158" t="str">
        <f>_xlfn.IFERROR(__xludf.DUMMYFUNCTION("""COMPUTED_VALUE"""),"LEŠKOVÁ")</f>
        <v>LEŠKOVÁ</v>
      </c>
      <c r="D150" s="90" t="str">
        <f>_xlfn.IFERROR(__xludf.DUMMYFUNCTION("""COMPUTED_VALUE"""),"Natália")</f>
        <v>Natália</v>
      </c>
      <c r="E150" s="78" t="s">
        <v>11</v>
      </c>
      <c r="F150" s="91" t="s">
        <v>23</v>
      </c>
      <c r="G150" s="92">
        <f>_xlfn.IFERROR(__xludf.DUMMYFUNCTION("""COMPUTED_VALUE"""),2007)</f>
        <v>2007</v>
      </c>
      <c r="H150" s="84" t="str">
        <f>_xlfn.IFERROR(__xludf.DUMMYFUNCTION("""COMPUTED_VALUE"""),"MARAS team ")</f>
        <v>MARAS team </v>
      </c>
      <c r="I150" s="81" t="str">
        <f>IF(F150="m",IF($G$1-$G150&lt;=17,"JM",IF($G$1-$G150&lt;=39,"A",IF($G$1-$G150&lt;=49,"B",IF($G$1-$G150&lt;=59,"C",IF($G$1-$G150&lt;=69,"D","E"))))),IF($G$1-$G150&lt;=17,"JŽ",IF($G$1-$G150&lt;=39,"F",IF($G$1-$G150&lt;=49,"G",IF($G$1-$G150&lt;=59,"H","I")))))</f>
        <v>JŽ</v>
      </c>
      <c r="J150" s="81">
        <f>COUNTIF(I$6:I150,I150)</f>
        <v>1</v>
      </c>
      <c r="K150" s="73">
        <v>0.030416666666666665</v>
      </c>
    </row>
    <row r="151" spans="1:11" s="104" customFormat="1" ht="15" customHeight="1">
      <c r="A151" s="94">
        <v>2</v>
      </c>
      <c r="B151" s="95">
        <v>124</v>
      </c>
      <c r="C151" s="150" t="s">
        <v>24</v>
      </c>
      <c r="D151" s="97" t="s">
        <v>27</v>
      </c>
      <c r="E151" s="98" t="s">
        <v>11</v>
      </c>
      <c r="F151" s="95" t="s">
        <v>23</v>
      </c>
      <c r="G151" s="99">
        <v>2005</v>
      </c>
      <c r="H151" s="97" t="s">
        <v>26</v>
      </c>
      <c r="I151" s="102" t="str">
        <f>IF(F151="m",IF($G$1-$G151&lt;=17,"JM",IF($G$1-$G151&lt;=39,"A",IF($G$1-$G151&lt;=49,"B",IF($G$1-$G151&lt;=59,"C",IF($G$1-$G151&lt;=69,"D","E"))))),IF($G$1-$G151&lt;=17,"JŽ",IF($G$1-$G151&lt;=39,"F",IF($G$1-$G151&lt;=49,"G",IF($G$1-$G151&lt;=59,"H","I")))))</f>
        <v>JŽ</v>
      </c>
      <c r="J151" s="102">
        <f>COUNTIF(I$6:I151,I151)</f>
        <v>2</v>
      </c>
      <c r="K151" s="103">
        <v>0.0328125</v>
      </c>
    </row>
    <row r="152" spans="1:11" s="127" customFormat="1" ht="15" customHeight="1">
      <c r="A152" s="116">
        <v>2</v>
      </c>
      <c r="B152" s="117">
        <v>104</v>
      </c>
      <c r="C152" s="118" t="str">
        <f>_xlfn.IFERROR(__xludf.DUMMYFUNCTION("""COMPUTED_VALUE"""),"HRICOVÁ")</f>
        <v>HRICOVÁ</v>
      </c>
      <c r="D152" s="119" t="str">
        <f>_xlfn.IFERROR(__xludf.DUMMYFUNCTION("""COMPUTED_VALUE"""),"Kristína")</f>
        <v>Kristína</v>
      </c>
      <c r="E152" s="120" t="s">
        <v>11</v>
      </c>
      <c r="F152" s="121" t="s">
        <v>23</v>
      </c>
      <c r="G152" s="122">
        <f>_xlfn.IFERROR(__xludf.DUMMYFUNCTION("""COMPUTED_VALUE"""),2003)</f>
        <v>2003</v>
      </c>
      <c r="H152" s="123" t="str">
        <f>_xlfn.IFERROR(__xludf.DUMMYFUNCTION("""COMPUTED_VALUE"""),"MARAS team")</f>
        <v>MARAS team</v>
      </c>
      <c r="I152" s="124" t="str">
        <f>IF(F152="m",IF($G$1-$G152&lt;=17,"JM",IF($G$1-$G152&lt;=39,"A",IF($G$1-$G152&lt;=49,"B",IF($G$1-$G152&lt;=59,"C",IF($G$1-$G152&lt;=69,"D","E"))))),IF($G$1-$G152&lt;=17,"JŽ",IF($G$1-$G152&lt;=39,"F",IF($G$1-$G152&lt;=49,"G",IF($G$1-$G152&lt;=59,"H","I")))))</f>
        <v>JŽ</v>
      </c>
      <c r="J152" s="125">
        <f>COUNTIF(I$6:I152,I152)</f>
        <v>3</v>
      </c>
      <c r="K152" s="126">
        <v>0.04100694444444444</v>
      </c>
    </row>
    <row r="153" spans="1:11" ht="15" customHeight="1">
      <c r="A153" s="5">
        <v>4</v>
      </c>
      <c r="B153" s="13">
        <v>81</v>
      </c>
      <c r="C153" s="46" t="str">
        <f>_xlfn.IFERROR(__xludf.DUMMYFUNCTION("""COMPUTED_VALUE"""),"ULIČNÁ")</f>
        <v>ULIČNÁ</v>
      </c>
      <c r="D153" s="41" t="str">
        <f>_xlfn.IFERROR(__xludf.DUMMYFUNCTION("""COMPUTED_VALUE"""),"Veronika")</f>
        <v>Veronika</v>
      </c>
      <c r="E153" s="7" t="s">
        <v>11</v>
      </c>
      <c r="F153" s="31" t="s">
        <v>23</v>
      </c>
      <c r="G153" s="26" t="s">
        <v>83</v>
      </c>
      <c r="H153" s="37" t="str">
        <f>_xlfn.IFERROR(__xludf.DUMMYFUNCTION("""COMPUTED_VALUE"""),"MARAS team")</f>
        <v>MARAS team</v>
      </c>
      <c r="I153" s="14" t="str">
        <f>IF(F153="m",IF($G$1-$G153&lt;=17,"JM",IF($G$1-$G153&lt;=39,"A",IF($G$1-$G153&lt;=49,"B",IF($G$1-$G153&lt;=59,"C",IF($G$1-$G153&lt;=69,"D","E"))))),IF($G$1-$G153&lt;=17,"JŽ",IF($G$1-$G153&lt;=39,"F",IF($G$1-$G153&lt;=49,"G",IF($G$1-$G153&lt;=59,"H","I")))))</f>
        <v>JŽ</v>
      </c>
      <c r="J153" s="12">
        <f>COUNTIF(I$6:I153,I153)</f>
        <v>4</v>
      </c>
      <c r="K153" s="50">
        <v>0.043715277777777777</v>
      </c>
    </row>
    <row r="155" spans="1:11" ht="11.25">
      <c r="A155" s="171" t="s">
        <v>14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</row>
    <row r="156" spans="1:11" ht="11.25">
      <c r="A156" s="171" t="s">
        <v>13</v>
      </c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</row>
    <row r="159" spans="1:11" ht="11.2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</row>
    <row r="160" spans="1:11" ht="11.2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</row>
  </sheetData>
  <sheetProtection/>
  <mergeCells count="12">
    <mergeCell ref="A144:C144"/>
    <mergeCell ref="A149:C149"/>
    <mergeCell ref="A2:K2"/>
    <mergeCell ref="A155:K155"/>
    <mergeCell ref="A156:K156"/>
    <mergeCell ref="A159:K159"/>
    <mergeCell ref="A160:K160"/>
    <mergeCell ref="A99:C99"/>
    <mergeCell ref="A81:C81"/>
    <mergeCell ref="A121:C121"/>
    <mergeCell ref="A135:C135"/>
    <mergeCell ref="A140:C140"/>
  </mergeCells>
  <conditionalFormatting sqref="C6:D80 G6:H153 C100:D120 D99 C82:D98 D81 C122:D134 D121 C136:D139 D135 C141:D143 D140 C145:D148 D144 C150:D153 D149">
    <cfRule type="expression" priority="2" dxfId="0">
      <formula>$G6=1</formula>
    </cfRule>
  </conditionalFormatting>
  <conditionalFormatting sqref="F6:F153">
    <cfRule type="expression" priority="1" dxfId="0">
      <formula>$H6=1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2">
      <selection activeCell="A7" sqref="A7:IV7"/>
    </sheetView>
  </sheetViews>
  <sheetFormatPr defaultColWidth="9.140625" defaultRowHeight="12.75"/>
  <cols>
    <col min="1" max="1" width="3.8515625" style="2" customWidth="1"/>
    <col min="2" max="2" width="4.28125" style="9" customWidth="1"/>
    <col min="3" max="3" width="17.7109375" style="9" customWidth="1"/>
    <col min="4" max="4" width="10.8515625" style="4" customWidth="1"/>
    <col min="5" max="5" width="5.28125" style="4" customWidth="1"/>
    <col min="6" max="6" width="4.00390625" style="9" customWidth="1"/>
    <col min="7" max="7" width="5.421875" style="29" customWidth="1"/>
    <col min="8" max="8" width="24.421875" style="4" customWidth="1"/>
    <col min="9" max="9" width="3.8515625" style="16" customWidth="1"/>
    <col min="10" max="10" width="4.8515625" style="16" customWidth="1"/>
    <col min="11" max="11" width="15.421875" style="23" customWidth="1"/>
    <col min="12" max="16384" width="9.140625" style="4" customWidth="1"/>
  </cols>
  <sheetData>
    <row r="1" spans="1:11" s="3" customFormat="1" ht="5.25" customHeight="1" hidden="1">
      <c r="A1" s="1"/>
      <c r="B1" s="8"/>
      <c r="C1" s="8"/>
      <c r="F1" s="8" t="s">
        <v>5</v>
      </c>
      <c r="G1" s="25">
        <v>2020</v>
      </c>
      <c r="I1" s="15"/>
      <c r="J1" s="15"/>
      <c r="K1" s="22"/>
    </row>
    <row r="2" spans="1:11" s="17" customFormat="1" ht="30" customHeight="1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21" customFormat="1" ht="19.5" customHeight="1">
      <c r="A3" s="11"/>
      <c r="B3" s="30"/>
      <c r="C3" s="53" t="s">
        <v>18</v>
      </c>
      <c r="D3" s="20"/>
      <c r="E3" s="18"/>
      <c r="F3" s="30"/>
      <c r="G3" s="24"/>
      <c r="H3" s="20"/>
      <c r="I3" s="19"/>
      <c r="J3" s="19"/>
      <c r="K3" s="24"/>
    </row>
    <row r="4" spans="1:11" s="64" customFormat="1" ht="25.5" customHeight="1">
      <c r="A4" s="58" t="s">
        <v>16</v>
      </c>
      <c r="B4" s="58" t="s">
        <v>15</v>
      </c>
      <c r="C4" s="58" t="s">
        <v>9</v>
      </c>
      <c r="D4" s="33" t="s">
        <v>0</v>
      </c>
      <c r="E4" s="33" t="s">
        <v>10</v>
      </c>
      <c r="F4" s="185" t="s">
        <v>4</v>
      </c>
      <c r="G4" s="186" t="s">
        <v>8</v>
      </c>
      <c r="H4" s="33" t="s">
        <v>1</v>
      </c>
      <c r="I4" s="185" t="s">
        <v>6</v>
      </c>
      <c r="J4" s="58" t="s">
        <v>7</v>
      </c>
      <c r="K4" s="185" t="s">
        <v>2</v>
      </c>
    </row>
    <row r="5" spans="1:11" s="74" customFormat="1" ht="15" customHeight="1">
      <c r="A5" s="65">
        <v>1</v>
      </c>
      <c r="B5" s="66">
        <v>87</v>
      </c>
      <c r="C5" s="67" t="s">
        <v>85</v>
      </c>
      <c r="D5" s="68" t="s">
        <v>86</v>
      </c>
      <c r="E5" s="69" t="s">
        <v>11</v>
      </c>
      <c r="F5" s="66" t="s">
        <v>3</v>
      </c>
      <c r="G5" s="70">
        <v>1989</v>
      </c>
      <c r="H5" s="71" t="s">
        <v>87</v>
      </c>
      <c r="I5" s="72" t="str">
        <f aca="true" t="shared" si="0" ref="I5:I42">IF(F5="m",IF($G$1-$G5&lt;=17,"JM",IF($G$1-$G5&lt;=39,"A",IF($G$1-$G5&lt;=49,"B",IF($G$1-$G5&lt;=59,"C",IF($G$1-$G5&lt;=69,"D","E"))))),IF($G$1-$G5&lt;=17,"JŽ",IF($G$1-$G5&lt;=39,"F",IF($G$1-$G5&lt;=49,"G",IF($G$1-$G5&lt;=59,"H","I")))))</f>
        <v>A</v>
      </c>
      <c r="J5" s="72">
        <f>COUNTIF(I$5:I5,I5)</f>
        <v>1</v>
      </c>
      <c r="K5" s="73">
        <v>0.021030092592592597</v>
      </c>
    </row>
    <row r="6" spans="1:11" s="104" customFormat="1" ht="15" customHeight="1">
      <c r="A6" s="94">
        <v>2</v>
      </c>
      <c r="B6" s="95">
        <v>56</v>
      </c>
      <c r="C6" s="96" t="s">
        <v>65</v>
      </c>
      <c r="D6" s="97" t="s">
        <v>66</v>
      </c>
      <c r="E6" s="98" t="s">
        <v>11</v>
      </c>
      <c r="F6" s="95" t="s">
        <v>3</v>
      </c>
      <c r="G6" s="99">
        <v>1993</v>
      </c>
      <c r="H6" s="100" t="s">
        <v>36</v>
      </c>
      <c r="I6" s="101" t="str">
        <f t="shared" si="0"/>
        <v>A</v>
      </c>
      <c r="J6" s="102">
        <f>COUNTIF(I$5:I6,I6)</f>
        <v>2</v>
      </c>
      <c r="K6" s="103">
        <v>0.022754629629629628</v>
      </c>
    </row>
    <row r="7" spans="1:11" s="127" customFormat="1" ht="15" customHeight="1" thickBot="1">
      <c r="A7" s="116">
        <v>3</v>
      </c>
      <c r="B7" s="117">
        <v>69</v>
      </c>
      <c r="C7" s="118" t="str">
        <f>_xlfn.IFERROR(__xludf.DUMMYFUNCTION("""COMPUTED_VALUE"""),"KORMANÍK")</f>
        <v>KORMANÍK</v>
      </c>
      <c r="D7" s="119" t="str">
        <f>_xlfn.IFERROR(__xludf.DUMMYFUNCTION("""COMPUTED_VALUE"""),"Martin")</f>
        <v>Martin</v>
      </c>
      <c r="E7" s="120" t="s">
        <v>11</v>
      </c>
      <c r="F7" s="121" t="s">
        <v>3</v>
      </c>
      <c r="G7" s="122">
        <f>_xlfn.IFERROR(__xludf.DUMMYFUNCTION("""COMPUTED_VALUE"""),1989)</f>
        <v>1989</v>
      </c>
      <c r="H7" s="123" t="str">
        <f>_xlfn.IFERROR(__xludf.DUMMYFUNCTION("""COMPUTED_VALUE"""),"MTC Vyšná Šebastová")</f>
        <v>MTC Vyšná Šebastová</v>
      </c>
      <c r="I7" s="124" t="str">
        <f t="shared" si="0"/>
        <v>A</v>
      </c>
      <c r="J7" s="125">
        <f>COUNTIF(I$5:I7,I7)</f>
        <v>3</v>
      </c>
      <c r="K7" s="126">
        <v>0.023171296296296297</v>
      </c>
    </row>
    <row r="8" spans="1:11" ht="15" customHeight="1" hidden="1">
      <c r="A8" s="5">
        <v>9</v>
      </c>
      <c r="B8" s="13">
        <v>30</v>
      </c>
      <c r="C8" s="47" t="s">
        <v>57</v>
      </c>
      <c r="D8" s="6" t="s">
        <v>58</v>
      </c>
      <c r="E8" s="7" t="s">
        <v>11</v>
      </c>
      <c r="F8" s="13" t="s">
        <v>3</v>
      </c>
      <c r="G8" s="28">
        <v>1985</v>
      </c>
      <c r="H8" s="43" t="s">
        <v>59</v>
      </c>
      <c r="I8" s="14" t="str">
        <f t="shared" si="0"/>
        <v>A</v>
      </c>
      <c r="J8" s="12">
        <f>COUNTIF(I$5:I8,I8)</f>
        <v>4</v>
      </c>
      <c r="K8" s="50">
        <v>0.025023148148148145</v>
      </c>
    </row>
    <row r="9" spans="1:11" ht="15" customHeight="1" hidden="1">
      <c r="A9" s="10">
        <v>10</v>
      </c>
      <c r="B9" s="13">
        <v>52</v>
      </c>
      <c r="C9" s="46" t="str">
        <f>_xlfn.IFERROR(__xludf.DUMMYFUNCTION("""COMPUTED_VALUE"""),"FEDOR")</f>
        <v>FEDOR</v>
      </c>
      <c r="D9" s="41" t="str">
        <f>_xlfn.IFERROR(__xludf.DUMMYFUNCTION("""COMPUTED_VALUE"""),"Matúš")</f>
        <v>Matúš</v>
      </c>
      <c r="E9" s="7" t="s">
        <v>11</v>
      </c>
      <c r="F9" s="31" t="s">
        <v>3</v>
      </c>
      <c r="G9" s="26">
        <f>_xlfn.IFERROR(__xludf.DUMMYFUNCTION("""COMPUTED_VALUE"""),1988)</f>
        <v>1988</v>
      </c>
      <c r="H9" s="37" t="str">
        <f>_xlfn.IFERROR(__xludf.DUMMYFUNCTION("""COMPUTED_VALUE"""),"Prešov")</f>
        <v>Prešov</v>
      </c>
      <c r="I9" s="14" t="str">
        <f t="shared" si="0"/>
        <v>A</v>
      </c>
      <c r="J9" s="12">
        <f>COUNTIF(I$5:I9,I9)</f>
        <v>5</v>
      </c>
      <c r="K9" s="50">
        <v>0.025023148148148145</v>
      </c>
    </row>
    <row r="10" spans="1:11" ht="15" customHeight="1" hidden="1">
      <c r="A10" s="5">
        <v>11</v>
      </c>
      <c r="B10" s="13">
        <v>132</v>
      </c>
      <c r="C10" s="45" t="str">
        <f>_xlfn.IFERROR(__xludf.DUMMYFUNCTION("""COMPUTED_VALUE"""),"OLEARNÍK")</f>
        <v>OLEARNÍK</v>
      </c>
      <c r="D10" s="40" t="str">
        <f>_xlfn.IFERROR(__xludf.DUMMYFUNCTION("""COMPUTED_VALUE"""),"Ľubomír")</f>
        <v>Ľubomír</v>
      </c>
      <c r="E10" s="7" t="s">
        <v>11</v>
      </c>
      <c r="F10" s="32" t="s">
        <v>3</v>
      </c>
      <c r="G10" s="27">
        <f>_xlfn.IFERROR(__xludf.DUMMYFUNCTION("""COMPUTED_VALUE"""),1982)</f>
        <v>1982</v>
      </c>
      <c r="H10" s="38" t="str">
        <f>_xlfn.IFERROR(__xludf.DUMMYFUNCTION("""COMPUTED_VALUE"""),"noviny GOLDEN")</f>
        <v>noviny GOLDEN</v>
      </c>
      <c r="I10" s="14" t="str">
        <f t="shared" si="0"/>
        <v>A</v>
      </c>
      <c r="J10" s="12">
        <f>COUNTIF(I$5:I10,I10)</f>
        <v>6</v>
      </c>
      <c r="K10" s="50">
        <v>0.025023148148148145</v>
      </c>
    </row>
    <row r="11" spans="1:12" ht="15" customHeight="1" hidden="1">
      <c r="A11" s="10">
        <v>12</v>
      </c>
      <c r="B11" s="13">
        <v>114</v>
      </c>
      <c r="C11" s="46" t="str">
        <f>_xlfn.IFERROR(__xludf.DUMMYFUNCTION("""COMPUTED_VALUE"""),"PLATKO")</f>
        <v>PLATKO</v>
      </c>
      <c r="D11" s="41" t="str">
        <f>_xlfn.IFERROR(__xludf.DUMMYFUNCTION("""COMPUTED_VALUE"""),"Matej")</f>
        <v>Matej</v>
      </c>
      <c r="E11" s="7" t="s">
        <v>11</v>
      </c>
      <c r="F11" s="31" t="s">
        <v>3</v>
      </c>
      <c r="G11" s="26">
        <f>_xlfn.IFERROR(__xludf.DUMMYFUNCTION("""COMPUTED_VALUE"""),1996)</f>
        <v>1996</v>
      </c>
      <c r="H11" s="37" t="str">
        <f>_xlfn.IFERROR(__xludf.DUMMYFUNCTION("""COMPUTED_VALUE"""),"TJ Sokol Ľubotice")</f>
        <v>TJ Sokol Ľubotice</v>
      </c>
      <c r="I11" s="14" t="str">
        <f t="shared" si="0"/>
        <v>A</v>
      </c>
      <c r="J11" s="12">
        <f>COUNTIF(I$5:I11,I11)</f>
        <v>7</v>
      </c>
      <c r="K11" s="50">
        <v>0.02508101851851852</v>
      </c>
      <c r="L11" s="4" t="s">
        <v>33</v>
      </c>
    </row>
    <row r="12" spans="1:11" ht="15" customHeight="1" hidden="1">
      <c r="A12" s="5">
        <v>14</v>
      </c>
      <c r="B12" s="13">
        <v>110</v>
      </c>
      <c r="C12" s="46" t="str">
        <f>_xlfn.IFERROR(__xludf.DUMMYFUNCTION("""COMPUTED_VALUE"""),"STAVAČ")</f>
        <v>STAVAČ</v>
      </c>
      <c r="D12" s="41" t="str">
        <f>_xlfn.IFERROR(__xludf.DUMMYFUNCTION("""COMPUTED_VALUE"""),"Róbert")</f>
        <v>Róbert</v>
      </c>
      <c r="E12" s="7" t="s">
        <v>11</v>
      </c>
      <c r="F12" s="31" t="s">
        <v>3</v>
      </c>
      <c r="G12" s="26">
        <f>_xlfn.IFERROR(__xludf.DUMMYFUNCTION("""COMPUTED_VALUE"""),1986)</f>
        <v>1986</v>
      </c>
      <c r="H12" s="37" t="str">
        <f>_xlfn.IFERROR(__xludf.DUMMYFUNCTION("""COMPUTED_VALUE"""),"Hi G Run")</f>
        <v>Hi G Run</v>
      </c>
      <c r="I12" s="14" t="str">
        <f t="shared" si="0"/>
        <v>A</v>
      </c>
      <c r="J12" s="12">
        <f>COUNTIF(I$5:I12,I12)</f>
        <v>8</v>
      </c>
      <c r="K12" s="50">
        <v>0.02517361111111111</v>
      </c>
    </row>
    <row r="13" spans="1:11" ht="15" customHeight="1" hidden="1">
      <c r="A13" s="10">
        <v>16</v>
      </c>
      <c r="B13" s="13">
        <v>131</v>
      </c>
      <c r="C13" s="46" t="str">
        <f>_xlfn.IFERROR(__xludf.DUMMYFUNCTION("""COMPUTED_VALUE"""),"ĎURÍČEK")</f>
        <v>ĎURÍČEK</v>
      </c>
      <c r="D13" s="41" t="str">
        <f>_xlfn.IFERROR(__xludf.DUMMYFUNCTION("""COMPUTED_VALUE"""),"Martin")</f>
        <v>Martin</v>
      </c>
      <c r="E13" s="7" t="s">
        <v>11</v>
      </c>
      <c r="F13" s="31" t="s">
        <v>3</v>
      </c>
      <c r="G13" s="26">
        <f>_xlfn.IFERROR(__xludf.DUMMYFUNCTION("""COMPUTED_VALUE"""),1986)</f>
        <v>1986</v>
      </c>
      <c r="H13" s="37" t="str">
        <f>_xlfn.IFERROR(__xludf.DUMMYFUNCTION("""COMPUTED_VALUE"""),"Gemerská Poloma")</f>
        <v>Gemerská Poloma</v>
      </c>
      <c r="I13" s="14" t="str">
        <f t="shared" si="0"/>
        <v>A</v>
      </c>
      <c r="J13" s="12">
        <f>COUNTIF(I$5:I13,I13)</f>
        <v>9</v>
      </c>
      <c r="K13" s="50">
        <v>0.025451388888888888</v>
      </c>
    </row>
    <row r="14" spans="1:11" ht="15" customHeight="1" hidden="1">
      <c r="A14" s="5">
        <v>19</v>
      </c>
      <c r="B14" s="13">
        <v>15</v>
      </c>
      <c r="C14" s="45" t="str">
        <f>_xlfn.IFERROR(__xludf.DUMMYFUNCTION("""COMPUTED_VALUE"""),"KUNDRAČIK")</f>
        <v>KUNDRAČIK</v>
      </c>
      <c r="D14" s="40" t="str">
        <f>_xlfn.IFERROR(__xludf.DUMMYFUNCTION("""COMPUTED_VALUE"""),"Miroslav")</f>
        <v>Miroslav</v>
      </c>
      <c r="E14" s="7" t="s">
        <v>11</v>
      </c>
      <c r="F14" s="32" t="s">
        <v>3</v>
      </c>
      <c r="G14" s="27">
        <f>_xlfn.IFERROR(__xludf.DUMMYFUNCTION("""COMPUTED_VALUE"""),1985)</f>
        <v>1985</v>
      </c>
      <c r="H14" s="38" t="str">
        <f>_xlfn.IFERROR(__xludf.DUMMYFUNCTION("""COMPUTED_VALUE"""),"MARAS team")</f>
        <v>MARAS team</v>
      </c>
      <c r="I14" s="14" t="str">
        <f t="shared" si="0"/>
        <v>A</v>
      </c>
      <c r="J14" s="12">
        <f>COUNTIF(I$5:I14,I14)</f>
        <v>10</v>
      </c>
      <c r="K14" s="50">
        <v>0.025567129629629634</v>
      </c>
    </row>
    <row r="15" spans="1:11" ht="15" customHeight="1" hidden="1">
      <c r="A15" s="10">
        <v>20</v>
      </c>
      <c r="B15" s="13">
        <v>47</v>
      </c>
      <c r="C15" s="45" t="str">
        <f>_xlfn.IFERROR(__xludf.DUMMYFUNCTION("""COMPUTED_VALUE"""),"ŠTOBER")</f>
        <v>ŠTOBER</v>
      </c>
      <c r="D15" s="40" t="str">
        <f>_xlfn.IFERROR(__xludf.DUMMYFUNCTION("""COMPUTED_VALUE"""),"Peter")</f>
        <v>Peter</v>
      </c>
      <c r="E15" s="7" t="s">
        <v>11</v>
      </c>
      <c r="F15" s="32" t="s">
        <v>3</v>
      </c>
      <c r="G15" s="27">
        <f>_xlfn.IFERROR(__xludf.DUMMYFUNCTION("""COMPUTED_VALUE"""),1988)</f>
        <v>1988</v>
      </c>
      <c r="H15" s="38" t="str">
        <f>_xlfn.IFERROR(__xludf.DUMMYFUNCTION("""COMPUTED_VALUE"""),"Rimavská Sobota")</f>
        <v>Rimavská Sobota</v>
      </c>
      <c r="I15" s="14" t="str">
        <f t="shared" si="0"/>
        <v>A</v>
      </c>
      <c r="J15" s="12">
        <f>COUNTIF(I$5:I15,I15)</f>
        <v>11</v>
      </c>
      <c r="K15" s="50">
        <v>0.02578703703703704</v>
      </c>
    </row>
    <row r="16" spans="1:11" ht="15" customHeight="1" hidden="1">
      <c r="A16" s="5">
        <v>29</v>
      </c>
      <c r="B16" s="13">
        <v>5</v>
      </c>
      <c r="C16" s="46" t="str">
        <f>_xlfn.IFERROR(__xludf.DUMMYFUNCTION("""COMPUTED_VALUE"""),"KULCSÁR")</f>
        <v>KULCSÁR</v>
      </c>
      <c r="D16" s="41" t="str">
        <f>_xlfn.IFERROR(__xludf.DUMMYFUNCTION("""COMPUTED_VALUE"""),"Štefan")</f>
        <v>Štefan</v>
      </c>
      <c r="E16" s="7" t="s">
        <v>11</v>
      </c>
      <c r="F16" s="31" t="s">
        <v>3</v>
      </c>
      <c r="G16" s="26">
        <f>_xlfn.IFERROR(__xludf.DUMMYFUNCTION("""COMPUTED_VALUE"""),1982)</f>
        <v>1982</v>
      </c>
      <c r="H16" s="37" t="str">
        <f>_xlfn.IFERROR(__xludf.DUMMYFUNCTION("""COMPUTED_VALUE"""),"STG Prešov")</f>
        <v>STG Prešov</v>
      </c>
      <c r="I16" s="14" t="str">
        <f t="shared" si="0"/>
        <v>A</v>
      </c>
      <c r="J16" s="12">
        <f>COUNTIF(I$5:I16,I16)</f>
        <v>12</v>
      </c>
      <c r="K16" s="50">
        <v>0.026238425925925925</v>
      </c>
    </row>
    <row r="17" spans="1:11" ht="15" customHeight="1" hidden="1">
      <c r="A17" s="10">
        <v>31</v>
      </c>
      <c r="B17" s="13">
        <v>128</v>
      </c>
      <c r="C17" s="45" t="str">
        <f>_xlfn.IFERROR(__xludf.DUMMYFUNCTION("""COMPUTED_VALUE"""),"GABRI")</f>
        <v>GABRI</v>
      </c>
      <c r="D17" s="40" t="str">
        <f>_xlfn.IFERROR(__xludf.DUMMYFUNCTION("""COMPUTED_VALUE"""),"Lóránt")</f>
        <v>Lóránt</v>
      </c>
      <c r="E17" s="7" t="s">
        <v>11</v>
      </c>
      <c r="F17" s="32" t="s">
        <v>3</v>
      </c>
      <c r="G17" s="27">
        <f>_xlfn.IFERROR(__xludf.DUMMYFUNCTION("""COMPUTED_VALUE"""),1988)</f>
        <v>1988</v>
      </c>
      <c r="H17" s="38" t="str">
        <f>_xlfn.IFERROR(__xludf.DUMMYFUNCTION("""COMPUTED_VALUE"""),"MBK Veľké Kapušany")</f>
        <v>MBK Veľké Kapušany</v>
      </c>
      <c r="I17" s="14" t="str">
        <f t="shared" si="0"/>
        <v>A</v>
      </c>
      <c r="J17" s="12">
        <f>COUNTIF(I$5:I17,I17)</f>
        <v>13</v>
      </c>
      <c r="K17" s="50">
        <v>0.02670138888888889</v>
      </c>
    </row>
    <row r="18" spans="1:11" ht="15" customHeight="1" hidden="1">
      <c r="A18" s="5">
        <v>32</v>
      </c>
      <c r="B18" s="13">
        <v>85</v>
      </c>
      <c r="C18" s="46" t="str">
        <f>_xlfn.IFERROR(__xludf.DUMMYFUNCTION("""COMPUTED_VALUE"""),"GIC")</f>
        <v>GIC</v>
      </c>
      <c r="D18" s="41" t="str">
        <f>_xlfn.IFERROR(__xludf.DUMMYFUNCTION("""COMPUTED_VALUE"""),"Jakub")</f>
        <v>Jakub</v>
      </c>
      <c r="E18" s="7" t="s">
        <v>11</v>
      </c>
      <c r="F18" s="31" t="s">
        <v>3</v>
      </c>
      <c r="G18" s="26">
        <f>_xlfn.IFERROR(__xludf.DUMMYFUNCTION("""COMPUTED_VALUE"""),1986)</f>
        <v>1986</v>
      </c>
      <c r="H18" s="37" t="str">
        <f>_xlfn.IFERROR(__xludf.DUMMYFUNCTION("""COMPUTED_VALUE"""),"Prešov")</f>
        <v>Prešov</v>
      </c>
      <c r="I18" s="14" t="str">
        <f t="shared" si="0"/>
        <v>A</v>
      </c>
      <c r="J18" s="12">
        <f>COUNTIF(I$5:I18,I18)</f>
        <v>14</v>
      </c>
      <c r="K18" s="50">
        <v>0.026747685185185183</v>
      </c>
    </row>
    <row r="19" spans="1:11" ht="15" customHeight="1" hidden="1">
      <c r="A19" s="10">
        <v>33</v>
      </c>
      <c r="B19" s="13">
        <v>48</v>
      </c>
      <c r="C19" s="45" t="str">
        <f>_xlfn.IFERROR(__xludf.DUMMYFUNCTION("""COMPUTED_VALUE"""),"SIDORJAK")</f>
        <v>SIDORJAK</v>
      </c>
      <c r="D19" s="40" t="str">
        <f>_xlfn.IFERROR(__xludf.DUMMYFUNCTION("""COMPUTED_VALUE"""),"Lukáš")</f>
        <v>Lukáš</v>
      </c>
      <c r="E19" s="7" t="s">
        <v>11</v>
      </c>
      <c r="F19" s="32" t="s">
        <v>3</v>
      </c>
      <c r="G19" s="27">
        <f>_xlfn.IFERROR(__xludf.DUMMYFUNCTION("""COMPUTED_VALUE"""),1992)</f>
        <v>1992</v>
      </c>
      <c r="H19" s="38" t="str">
        <f>_xlfn.IFERROR(__xludf.DUMMYFUNCTION("""COMPUTED_VALUE"""),"Prešov ")</f>
        <v>Prešov </v>
      </c>
      <c r="I19" s="14" t="str">
        <f t="shared" si="0"/>
        <v>A</v>
      </c>
      <c r="J19" s="12">
        <f>COUNTIF(I$5:I19,I19)</f>
        <v>15</v>
      </c>
      <c r="K19" s="50">
        <v>0.02684027777777778</v>
      </c>
    </row>
    <row r="20" spans="1:11" ht="15" customHeight="1" hidden="1">
      <c r="A20" s="5">
        <v>42</v>
      </c>
      <c r="B20" s="13">
        <v>115</v>
      </c>
      <c r="C20" s="45" t="str">
        <f>_xlfn.IFERROR(__xludf.DUMMYFUNCTION("""COMPUTED_VALUE"""),"KIZEK")</f>
        <v>KIZEK</v>
      </c>
      <c r="D20" s="40" t="str">
        <f>_xlfn.IFERROR(__xludf.DUMMYFUNCTION("""COMPUTED_VALUE"""),"Peter")</f>
        <v>Peter</v>
      </c>
      <c r="E20" s="7" t="s">
        <v>11</v>
      </c>
      <c r="F20" s="32" t="s">
        <v>3</v>
      </c>
      <c r="G20" s="27">
        <f>_xlfn.IFERROR(__xludf.DUMMYFUNCTION("""COMPUTED_VALUE"""),2000)</f>
        <v>2000</v>
      </c>
      <c r="H20" s="38" t="str">
        <f>_xlfn.IFERROR(__xludf.DUMMYFUNCTION("""COMPUTED_VALUE"""),"TJ Sokol Ľubotice")</f>
        <v>TJ Sokol Ľubotice</v>
      </c>
      <c r="I20" s="14" t="str">
        <f t="shared" si="0"/>
        <v>A</v>
      </c>
      <c r="J20" s="12">
        <f>COUNTIF(I$5:I20,I20)</f>
        <v>16</v>
      </c>
      <c r="K20" s="50">
        <v>0.02758101851851852</v>
      </c>
    </row>
    <row r="21" spans="1:11" ht="15" customHeight="1" hidden="1">
      <c r="A21" s="10">
        <v>45</v>
      </c>
      <c r="B21" s="13">
        <v>14</v>
      </c>
      <c r="C21" s="44" t="s">
        <v>40</v>
      </c>
      <c r="D21" s="42" t="s">
        <v>41</v>
      </c>
      <c r="E21" s="7" t="s">
        <v>11</v>
      </c>
      <c r="F21" s="13" t="s">
        <v>3</v>
      </c>
      <c r="G21" s="28">
        <v>1996</v>
      </c>
      <c r="H21" s="39" t="s">
        <v>26</v>
      </c>
      <c r="I21" s="14" t="str">
        <f t="shared" si="0"/>
        <v>A</v>
      </c>
      <c r="J21" s="12">
        <f>COUNTIF(I$5:I21,I21)</f>
        <v>17</v>
      </c>
      <c r="K21" s="50">
        <v>0.02773148148148148</v>
      </c>
    </row>
    <row r="22" spans="1:11" ht="15" customHeight="1" hidden="1">
      <c r="A22" s="5">
        <v>52</v>
      </c>
      <c r="B22" s="13">
        <v>108</v>
      </c>
      <c r="C22" s="46" t="s">
        <v>92</v>
      </c>
      <c r="D22" s="41" t="s">
        <v>55</v>
      </c>
      <c r="E22" s="7" t="s">
        <v>11</v>
      </c>
      <c r="F22" s="31" t="s">
        <v>3</v>
      </c>
      <c r="G22" s="26" t="s">
        <v>93</v>
      </c>
      <c r="H22" s="37" t="s">
        <v>94</v>
      </c>
      <c r="I22" s="14" t="str">
        <f t="shared" si="0"/>
        <v>A</v>
      </c>
      <c r="J22" s="12">
        <f>COUNTIF(I$5:I22,I22)</f>
        <v>18</v>
      </c>
      <c r="K22" s="50">
        <v>0.028576388888888887</v>
      </c>
    </row>
    <row r="23" spans="1:11" ht="15" customHeight="1" hidden="1">
      <c r="A23" s="10">
        <v>59</v>
      </c>
      <c r="B23" s="13">
        <v>105</v>
      </c>
      <c r="C23" s="46" t="str">
        <f>_xlfn.IFERROR(__xludf.DUMMYFUNCTION("""COMPUTED_VALUE"""),"HRIC")</f>
        <v>HRIC</v>
      </c>
      <c r="D23" s="41" t="str">
        <f>_xlfn.IFERROR(__xludf.DUMMYFUNCTION("""COMPUTED_VALUE"""),"František")</f>
        <v>František</v>
      </c>
      <c r="E23" s="7" t="s">
        <v>11</v>
      </c>
      <c r="F23" s="31" t="s">
        <v>3</v>
      </c>
      <c r="G23" s="26">
        <f>_xlfn.IFERROR(__xludf.DUMMYFUNCTION("""COMPUTED_VALUE"""),2001)</f>
        <v>2001</v>
      </c>
      <c r="H23" s="37" t="str">
        <f>_xlfn.IFERROR(__xludf.DUMMYFUNCTION("""COMPUTED_VALUE"""),"MARAS team")</f>
        <v>MARAS team</v>
      </c>
      <c r="I23" s="14" t="str">
        <f t="shared" si="0"/>
        <v>A</v>
      </c>
      <c r="J23" s="12">
        <f>COUNTIF(I$5:I23,I23)</f>
        <v>19</v>
      </c>
      <c r="K23" s="50">
        <v>0.029247685185185186</v>
      </c>
    </row>
    <row r="24" spans="1:11" ht="15" customHeight="1" hidden="1">
      <c r="A24" s="5">
        <v>60</v>
      </c>
      <c r="B24" s="13">
        <v>84</v>
      </c>
      <c r="C24" s="45" t="str">
        <f>_xlfn.IFERROR(__xludf.DUMMYFUNCTION("""COMPUTED_VALUE"""),"MARCHEVSKÝ")</f>
        <v>MARCHEVSKÝ</v>
      </c>
      <c r="D24" s="40" t="s">
        <v>84</v>
      </c>
      <c r="E24" s="7" t="s">
        <v>11</v>
      </c>
      <c r="F24" s="32" t="s">
        <v>3</v>
      </c>
      <c r="G24" s="27">
        <f>_xlfn.IFERROR(__xludf.DUMMYFUNCTION("""COMPUTED_VALUE"""),1990)</f>
        <v>1990</v>
      </c>
      <c r="H24" s="38" t="str">
        <f>_xlfn.IFERROR(__xludf.DUMMYFUNCTION("""COMPUTED_VALUE"""),"Prešov")</f>
        <v>Prešov</v>
      </c>
      <c r="I24" s="14" t="str">
        <f t="shared" si="0"/>
        <v>A</v>
      </c>
      <c r="J24" s="12">
        <f>COUNTIF(I$5:I24,I24)</f>
        <v>20</v>
      </c>
      <c r="K24" s="50">
        <v>0.029305555555555557</v>
      </c>
    </row>
    <row r="25" spans="1:11" ht="15" customHeight="1" hidden="1">
      <c r="A25" s="10">
        <v>61</v>
      </c>
      <c r="B25" s="13">
        <v>133</v>
      </c>
      <c r="C25" s="46" t="str">
        <f>_xlfn.IFERROR(__xludf.DUMMYFUNCTION("""COMPUTED_VALUE"""),"HAVRILA")</f>
        <v>HAVRILA</v>
      </c>
      <c r="D25" s="41" t="str">
        <f>_xlfn.IFERROR(__xludf.DUMMYFUNCTION("""COMPUTED_VALUE"""),"Dominik")</f>
        <v>Dominik</v>
      </c>
      <c r="E25" s="7" t="s">
        <v>11</v>
      </c>
      <c r="F25" s="31" t="s">
        <v>3</v>
      </c>
      <c r="G25" s="26">
        <f>_xlfn.IFERROR(__xludf.DUMMYFUNCTION("""COMPUTED_VALUE"""),1999)</f>
        <v>1999</v>
      </c>
      <c r="H25" s="37" t="str">
        <f>_xlfn.IFERROR(__xludf.DUMMYFUNCTION("""COMPUTED_VALUE"""),"Petrovany")</f>
        <v>Petrovany</v>
      </c>
      <c r="I25" s="14" t="str">
        <f t="shared" si="0"/>
        <v>A</v>
      </c>
      <c r="J25" s="12">
        <f>COUNTIF(I$5:I25,I25)</f>
        <v>21</v>
      </c>
      <c r="K25" s="50">
        <v>0.029375</v>
      </c>
    </row>
    <row r="26" spans="1:11" ht="15" customHeight="1" hidden="1">
      <c r="A26" s="5">
        <v>63</v>
      </c>
      <c r="B26" s="13">
        <v>70</v>
      </c>
      <c r="C26" s="46" t="str">
        <f>_xlfn.IFERROR(__xludf.DUMMYFUNCTION("""COMPUTED_VALUE"""),"MARCINKO")</f>
        <v>MARCINKO</v>
      </c>
      <c r="D26" s="41" t="str">
        <f>_xlfn.IFERROR(__xludf.DUMMYFUNCTION("""COMPUTED_VALUE"""),"Karol")</f>
        <v>Karol</v>
      </c>
      <c r="E26" s="7" t="s">
        <v>11</v>
      </c>
      <c r="F26" s="31" t="s">
        <v>3</v>
      </c>
      <c r="G26" s="26">
        <f>_xlfn.IFERROR(__xludf.DUMMYFUNCTION("""COMPUTED_VALUE"""),1993)</f>
        <v>1993</v>
      </c>
      <c r="H26" s="37" t="str">
        <f>_xlfn.IFERROR(__xludf.DUMMYFUNCTION("""COMPUTED_VALUE"""),"Prešov")</f>
        <v>Prešov</v>
      </c>
      <c r="I26" s="14" t="str">
        <f t="shared" si="0"/>
        <v>A</v>
      </c>
      <c r="J26" s="12">
        <f>COUNTIF(I$5:I26,I26)</f>
        <v>22</v>
      </c>
      <c r="K26" s="50">
        <v>0.0297337962962963</v>
      </c>
    </row>
    <row r="27" spans="1:11" ht="15" customHeight="1" hidden="1">
      <c r="A27" s="10">
        <v>68</v>
      </c>
      <c r="B27" s="13">
        <v>94</v>
      </c>
      <c r="C27" s="46" t="str">
        <f>_xlfn.IFERROR(__xludf.DUMMYFUNCTION("""COMPUTED_VALUE"""),"ŠKERHÁK")</f>
        <v>ŠKERHÁK</v>
      </c>
      <c r="D27" s="41" t="str">
        <f>_xlfn.IFERROR(__xludf.DUMMYFUNCTION("""COMPUTED_VALUE"""),"Róbert")</f>
        <v>Róbert</v>
      </c>
      <c r="E27" s="7" t="s">
        <v>11</v>
      </c>
      <c r="F27" s="31" t="s">
        <v>3</v>
      </c>
      <c r="G27" s="26">
        <f>_xlfn.IFERROR(__xludf.DUMMYFUNCTION("""COMPUTED_VALUE"""),1981)</f>
        <v>1981</v>
      </c>
      <c r="H27" s="37" t="str">
        <f>_xlfn.IFERROR(__xludf.DUMMYFUNCTION("""COMPUTED_VALUE"""),"Kokošovce")</f>
        <v>Kokošovce</v>
      </c>
      <c r="I27" s="14" t="str">
        <f t="shared" si="0"/>
        <v>A</v>
      </c>
      <c r="J27" s="12">
        <f>COUNTIF(I$5:I27,I27)</f>
        <v>23</v>
      </c>
      <c r="K27" s="50">
        <v>0.030416666666666665</v>
      </c>
    </row>
    <row r="28" spans="1:11" ht="15" customHeight="1" hidden="1">
      <c r="A28" s="5">
        <v>71</v>
      </c>
      <c r="B28" s="13">
        <v>18</v>
      </c>
      <c r="C28" s="44" t="s">
        <v>44</v>
      </c>
      <c r="D28" s="42" t="s">
        <v>35</v>
      </c>
      <c r="E28" s="7" t="s">
        <v>11</v>
      </c>
      <c r="F28" s="13" t="s">
        <v>3</v>
      </c>
      <c r="G28" s="28">
        <v>1992</v>
      </c>
      <c r="H28" s="39" t="s">
        <v>45</v>
      </c>
      <c r="I28" s="14" t="str">
        <f t="shared" si="0"/>
        <v>A</v>
      </c>
      <c r="J28" s="12">
        <f>COUNTIF(I$5:I28,I28)</f>
        <v>24</v>
      </c>
      <c r="K28" s="50">
        <v>0.030625</v>
      </c>
    </row>
    <row r="29" spans="1:11" ht="15" customHeight="1" hidden="1">
      <c r="A29" s="10">
        <v>72</v>
      </c>
      <c r="B29" s="13">
        <v>119</v>
      </c>
      <c r="C29" s="45" t="str">
        <f>_xlfn.IFERROR(__xludf.DUMMYFUNCTION("""COMPUTED_VALUE"""),"POLÁČEK")</f>
        <v>POLÁČEK</v>
      </c>
      <c r="D29" s="40" t="str">
        <f>_xlfn.IFERROR(__xludf.DUMMYFUNCTION("""COMPUTED_VALUE"""),"Michal")</f>
        <v>Michal</v>
      </c>
      <c r="E29" s="7" t="s">
        <v>11</v>
      </c>
      <c r="F29" s="32" t="s">
        <v>3</v>
      </c>
      <c r="G29" s="27">
        <f>_xlfn.IFERROR(__xludf.DUMMYFUNCTION("""COMPUTED_VALUE"""),1993)</f>
        <v>1993</v>
      </c>
      <c r="H29" s="37" t="str">
        <f>_xlfn.IFERROR(__xludf.DUMMYFUNCTION("""COMPUTED_VALUE"""),"Active Life Košice")</f>
        <v>Active Life Košice</v>
      </c>
      <c r="I29" s="14" t="str">
        <f t="shared" si="0"/>
        <v>A</v>
      </c>
      <c r="J29" s="12">
        <f>COUNTIF(I$5:I29,I29)</f>
        <v>25</v>
      </c>
      <c r="K29" s="50">
        <v>0.03079861111111111</v>
      </c>
    </row>
    <row r="30" spans="1:11" ht="15" customHeight="1" hidden="1">
      <c r="A30" s="5">
        <v>73</v>
      </c>
      <c r="B30" s="13">
        <v>138</v>
      </c>
      <c r="C30" s="46" t="str">
        <f>_xlfn.IFERROR(__xludf.DUMMYFUNCTION("""COMPUTED_VALUE"""),"DUDÁŠ")</f>
        <v>DUDÁŠ</v>
      </c>
      <c r="D30" s="41" t="str">
        <f>_xlfn.IFERROR(__xludf.DUMMYFUNCTION("""COMPUTED_VALUE"""),"Michal")</f>
        <v>Michal</v>
      </c>
      <c r="E30" s="7" t="s">
        <v>11</v>
      </c>
      <c r="F30" s="31" t="s">
        <v>3</v>
      </c>
      <c r="G30" s="26">
        <f>_xlfn.IFERROR(__xludf.DUMMYFUNCTION("""COMPUTED_VALUE"""),1991)</f>
        <v>1991</v>
      </c>
      <c r="H30" s="37" t="str">
        <f>_xlfn.IFERROR(__xludf.DUMMYFUNCTION("""COMPUTED_VALUE"""),"Prešov")</f>
        <v>Prešov</v>
      </c>
      <c r="I30" s="14" t="str">
        <f t="shared" si="0"/>
        <v>A</v>
      </c>
      <c r="J30" s="12">
        <f>COUNTIF(I$5:I30,I30)</f>
        <v>26</v>
      </c>
      <c r="K30" s="50">
        <v>0.030833333333333334</v>
      </c>
    </row>
    <row r="31" spans="1:11" ht="15" customHeight="1" hidden="1">
      <c r="A31" s="10">
        <v>77</v>
      </c>
      <c r="B31" s="13">
        <v>16</v>
      </c>
      <c r="C31" s="45" t="str">
        <f>_xlfn.IFERROR(__xludf.DUMMYFUNCTION("""COMPUTED_VALUE"""),"BALOGA")</f>
        <v>BALOGA</v>
      </c>
      <c r="D31" s="40" t="str">
        <f>_xlfn.IFERROR(__xludf.DUMMYFUNCTION("""COMPUTED_VALUE"""),"Marián")</f>
        <v>Marián</v>
      </c>
      <c r="E31" s="7" t="s">
        <v>11</v>
      </c>
      <c r="F31" s="32" t="s">
        <v>3</v>
      </c>
      <c r="G31" s="27">
        <f>_xlfn.IFERROR(__xludf.DUMMYFUNCTION("""COMPUTED_VALUE"""),1993)</f>
        <v>1993</v>
      </c>
      <c r="H31" s="38" t="str">
        <f>_xlfn.IFERROR(__xludf.DUMMYFUNCTION("""COMPUTED_VALUE"""),"Prešov")</f>
        <v>Prešov</v>
      </c>
      <c r="I31" s="14" t="str">
        <f t="shared" si="0"/>
        <v>A</v>
      </c>
      <c r="J31" s="12">
        <f>COUNTIF(I$5:I31,I31)</f>
        <v>27</v>
      </c>
      <c r="K31" s="50">
        <v>0.03128472222222222</v>
      </c>
    </row>
    <row r="32" spans="1:11" ht="15" customHeight="1" hidden="1">
      <c r="A32" s="5">
        <v>78</v>
      </c>
      <c r="B32" s="13">
        <v>121</v>
      </c>
      <c r="C32" s="46" t="str">
        <f>_xlfn.IFERROR(__xludf.DUMMYFUNCTION("""COMPUTED_VALUE"""),"DOŇÁK")</f>
        <v>DOŇÁK</v>
      </c>
      <c r="D32" s="41" t="str">
        <f>_xlfn.IFERROR(__xludf.DUMMYFUNCTION("""COMPUTED_VALUE"""),"Tomas")</f>
        <v>Tomas</v>
      </c>
      <c r="E32" s="7" t="s">
        <v>11</v>
      </c>
      <c r="F32" s="31" t="s">
        <v>3</v>
      </c>
      <c r="G32" s="26">
        <f>_xlfn.IFERROR(__xludf.DUMMYFUNCTION("""COMPUTED_VALUE"""),1985)</f>
        <v>1985</v>
      </c>
      <c r="H32" s="37" t="str">
        <f>_xlfn.IFERROR(__xludf.DUMMYFUNCTION("""COMPUTED_VALUE"""),"Dulova Ves")</f>
        <v>Dulova Ves</v>
      </c>
      <c r="I32" s="14" t="str">
        <f t="shared" si="0"/>
        <v>A</v>
      </c>
      <c r="J32" s="12">
        <f>COUNTIF(I$5:I32,I32)</f>
        <v>28</v>
      </c>
      <c r="K32" s="50">
        <v>0.03135416666666666</v>
      </c>
    </row>
    <row r="33" spans="1:11" ht="15" customHeight="1" hidden="1">
      <c r="A33" s="10">
        <v>79</v>
      </c>
      <c r="B33" s="13">
        <v>58</v>
      </c>
      <c r="C33" s="44" t="s">
        <v>69</v>
      </c>
      <c r="D33" s="42" t="s">
        <v>70</v>
      </c>
      <c r="E33" s="7" t="s">
        <v>11</v>
      </c>
      <c r="F33" s="13" t="s">
        <v>3</v>
      </c>
      <c r="G33" s="28">
        <v>1988</v>
      </c>
      <c r="H33" s="39" t="s">
        <v>26</v>
      </c>
      <c r="I33" s="14" t="str">
        <f t="shared" si="0"/>
        <v>A</v>
      </c>
      <c r="J33" s="12">
        <f>COUNTIF(I$5:I33,I33)</f>
        <v>29</v>
      </c>
      <c r="K33" s="50">
        <v>0.031574074074074074</v>
      </c>
    </row>
    <row r="34" spans="1:11" ht="15" customHeight="1" hidden="1">
      <c r="A34" s="5">
        <v>81</v>
      </c>
      <c r="B34" s="13">
        <v>82</v>
      </c>
      <c r="C34" s="46" t="str">
        <f>_xlfn.IFERROR(__xludf.DUMMYFUNCTION("""COMPUTED_VALUE"""),"ULIČNÝ")</f>
        <v>ULIČNÝ</v>
      </c>
      <c r="D34" s="41" t="str">
        <f>_xlfn.IFERROR(__xludf.DUMMYFUNCTION("""COMPUTED_VALUE"""),"Peter")</f>
        <v>Peter</v>
      </c>
      <c r="E34" s="7" t="s">
        <v>11</v>
      </c>
      <c r="F34" s="31" t="s">
        <v>3</v>
      </c>
      <c r="G34" s="26">
        <f>_xlfn.IFERROR(__xludf.DUMMYFUNCTION("""COMPUTED_VALUE"""),1983)</f>
        <v>1983</v>
      </c>
      <c r="H34" s="37" t="str">
        <f>_xlfn.IFERROR(__xludf.DUMMYFUNCTION("""COMPUTED_VALUE"""),"MARAS team")</f>
        <v>MARAS team</v>
      </c>
      <c r="I34" s="14" t="str">
        <f t="shared" si="0"/>
        <v>A</v>
      </c>
      <c r="J34" s="12">
        <f>COUNTIF(I$5:I34,I34)</f>
        <v>30</v>
      </c>
      <c r="K34" s="50">
        <v>0.031608796296296295</v>
      </c>
    </row>
    <row r="35" spans="1:11" ht="15" customHeight="1" hidden="1">
      <c r="A35" s="10">
        <v>90</v>
      </c>
      <c r="B35" s="13">
        <v>39</v>
      </c>
      <c r="C35" s="45" t="str">
        <f>_xlfn.IFERROR(__xludf.DUMMYFUNCTION("""COMPUTED_VALUE"""),"IVANOV")</f>
        <v>IVANOV</v>
      </c>
      <c r="D35" s="40" t="str">
        <f>_xlfn.IFERROR(__xludf.DUMMYFUNCTION("""COMPUTED_VALUE"""),"Juraj")</f>
        <v>Juraj</v>
      </c>
      <c r="E35" s="7" t="s">
        <v>11</v>
      </c>
      <c r="F35" s="32" t="s">
        <v>3</v>
      </c>
      <c r="G35" s="27">
        <f>_xlfn.IFERROR(__xludf.DUMMYFUNCTION("""COMPUTED_VALUE"""),1983)</f>
        <v>1983</v>
      </c>
      <c r="H35" s="38" t="str">
        <f>_xlfn.IFERROR(__xludf.DUMMYFUNCTION("""COMPUTED_VALUE"""),"Sigord")</f>
        <v>Sigord</v>
      </c>
      <c r="I35" s="14" t="str">
        <f t="shared" si="0"/>
        <v>A</v>
      </c>
      <c r="J35" s="12">
        <f>COUNTIF(I$5:I35,I35)</f>
        <v>31</v>
      </c>
      <c r="K35" s="50">
        <v>0.03222222222222222</v>
      </c>
    </row>
    <row r="36" spans="1:11" ht="15" customHeight="1" hidden="1">
      <c r="A36" s="5">
        <v>99</v>
      </c>
      <c r="B36" s="13">
        <v>63</v>
      </c>
      <c r="C36" s="46" t="str">
        <f>_xlfn.IFERROR(__xludf.DUMMYFUNCTION("""COMPUTED_VALUE"""),"VIŠŇOVSKÝ")</f>
        <v>VIŠŇOVSKÝ</v>
      </c>
      <c r="D36" s="41" t="str">
        <f>_xlfn.IFERROR(__xludf.DUMMYFUNCTION("""COMPUTED_VALUE"""),"Maroš")</f>
        <v>Maroš</v>
      </c>
      <c r="E36" s="7" t="s">
        <v>11</v>
      </c>
      <c r="F36" s="31" t="s">
        <v>3</v>
      </c>
      <c r="G36" s="26">
        <f>_xlfn.IFERROR(__xludf.DUMMYFUNCTION("""COMPUTED_VALUE"""),1987)</f>
        <v>1987</v>
      </c>
      <c r="H36" s="37" t="str">
        <f>_xlfn.IFERROR(__xludf.DUMMYFUNCTION("""COMPUTED_VALUE"""),"Prešov")</f>
        <v>Prešov</v>
      </c>
      <c r="I36" s="14" t="str">
        <f t="shared" si="0"/>
        <v>A</v>
      </c>
      <c r="J36" s="12">
        <f>COUNTIF(I$5:I36,I36)</f>
        <v>32</v>
      </c>
      <c r="K36" s="50">
        <v>0.03366898148148148</v>
      </c>
    </row>
    <row r="37" spans="1:11" ht="15" customHeight="1" hidden="1">
      <c r="A37" s="10">
        <v>100</v>
      </c>
      <c r="B37" s="13">
        <v>61</v>
      </c>
      <c r="C37" s="46" t="str">
        <f>_xlfn.IFERROR(__xludf.DUMMYFUNCTION("""COMPUTED_VALUE"""),"ČOPJAK")</f>
        <v>ČOPJAK</v>
      </c>
      <c r="D37" s="41" t="str">
        <f>_xlfn.IFERROR(__xludf.DUMMYFUNCTION("""COMPUTED_VALUE"""),"Miroslav")</f>
        <v>Miroslav</v>
      </c>
      <c r="E37" s="7" t="s">
        <v>11</v>
      </c>
      <c r="F37" s="31" t="s">
        <v>3</v>
      </c>
      <c r="G37" s="26">
        <f>_xlfn.IFERROR(__xludf.DUMMYFUNCTION("""COMPUTED_VALUE"""),1985)</f>
        <v>1985</v>
      </c>
      <c r="H37" s="37" t="str">
        <f>_xlfn.IFERROR(__xludf.DUMMYFUNCTION("""COMPUTED_VALUE"""),"Lektvare")</f>
        <v>Lektvare</v>
      </c>
      <c r="I37" s="14" t="str">
        <f t="shared" si="0"/>
        <v>A</v>
      </c>
      <c r="J37" s="12">
        <f>COUNTIF(I$5:I37,I37)</f>
        <v>33</v>
      </c>
      <c r="K37" s="50">
        <v>0.03375</v>
      </c>
    </row>
    <row r="38" spans="1:11" ht="15" customHeight="1" hidden="1">
      <c r="A38" s="5">
        <v>115</v>
      </c>
      <c r="B38" s="13">
        <v>101</v>
      </c>
      <c r="C38" s="46" t="str">
        <f>_xlfn.IFERROR(__xludf.DUMMYFUNCTION("""COMPUTED_VALUE"""),"DEMČO")</f>
        <v>DEMČO</v>
      </c>
      <c r="D38" s="41" t="str">
        <f>_xlfn.IFERROR(__xludf.DUMMYFUNCTION("""COMPUTED_VALUE"""),"Michal")</f>
        <v>Michal</v>
      </c>
      <c r="E38" s="7" t="s">
        <v>11</v>
      </c>
      <c r="F38" s="31" t="s">
        <v>3</v>
      </c>
      <c r="G38" s="26">
        <f>_xlfn.IFERROR(__xludf.DUMMYFUNCTION("""COMPUTED_VALUE"""),1993)</f>
        <v>1993</v>
      </c>
      <c r="H38" s="37" t="str">
        <f>_xlfn.IFERROR(__xludf.DUMMYFUNCTION("""COMPUTED_VALUE"""),"KAMI kov ")</f>
        <v>KAMI kov </v>
      </c>
      <c r="I38" s="14" t="str">
        <f t="shared" si="0"/>
        <v>A</v>
      </c>
      <c r="J38" s="12">
        <f>COUNTIF(I$5:I38,I38)</f>
        <v>34</v>
      </c>
      <c r="K38" s="50">
        <v>0.03685185185185185</v>
      </c>
    </row>
    <row r="39" spans="1:11" ht="15" customHeight="1" hidden="1">
      <c r="A39" s="10">
        <v>118</v>
      </c>
      <c r="B39" s="13">
        <v>117</v>
      </c>
      <c r="C39" s="45" t="str">
        <f>_xlfn.IFERROR(__xludf.DUMMYFUNCTION("""COMPUTED_VALUE"""),"SABOL")</f>
        <v>SABOL</v>
      </c>
      <c r="D39" s="40" t="str">
        <f>_xlfn.IFERROR(__xludf.DUMMYFUNCTION("""COMPUTED_VALUE"""),"Marek")</f>
        <v>Marek</v>
      </c>
      <c r="E39" s="7" t="s">
        <v>11</v>
      </c>
      <c r="F39" s="32" t="s">
        <v>3</v>
      </c>
      <c r="G39" s="27">
        <f>_xlfn.IFERROR(__xludf.DUMMYFUNCTION("""COMPUTED_VALUE"""),1991)</f>
        <v>1991</v>
      </c>
      <c r="H39" s="38" t="str">
        <f>_xlfn.IFERROR(__xludf.DUMMYFUNCTION("""COMPUTED_VALUE"""),"Active life")</f>
        <v>Active life</v>
      </c>
      <c r="I39" s="14" t="str">
        <f t="shared" si="0"/>
        <v>A</v>
      </c>
      <c r="J39" s="12">
        <f>COUNTIF(I$5:I39,I39)</f>
        <v>35</v>
      </c>
      <c r="K39" s="50">
        <v>0.037453703703703704</v>
      </c>
    </row>
    <row r="40" spans="1:11" ht="15" customHeight="1" hidden="1">
      <c r="A40" s="5">
        <v>120</v>
      </c>
      <c r="B40" s="13">
        <v>22</v>
      </c>
      <c r="C40" s="45" t="str">
        <f>_xlfn.IFERROR(__xludf.DUMMYFUNCTION("""COMPUTED_VALUE"""),"RIŇAK")</f>
        <v>RIŇAK</v>
      </c>
      <c r="D40" s="40" t="str">
        <f>_xlfn.IFERROR(__xludf.DUMMYFUNCTION("""COMPUTED_VALUE"""),"Martin")</f>
        <v>Martin</v>
      </c>
      <c r="E40" s="7" t="s">
        <v>11</v>
      </c>
      <c r="F40" s="32" t="s">
        <v>3</v>
      </c>
      <c r="G40" s="27">
        <f>_xlfn.IFERROR(__xludf.DUMMYFUNCTION("""COMPUTED_VALUE"""),1987)</f>
        <v>1987</v>
      </c>
      <c r="H40" s="38" t="str">
        <f>_xlfn.IFERROR(__xludf.DUMMYFUNCTION("""COMPUTED_VALUE"""),"BFG")</f>
        <v>BFG</v>
      </c>
      <c r="I40" s="14" t="str">
        <f t="shared" si="0"/>
        <v>A</v>
      </c>
      <c r="J40" s="12">
        <f>COUNTIF(I$5:I40,I40)</f>
        <v>36</v>
      </c>
      <c r="K40" s="50">
        <v>0.03753472222222222</v>
      </c>
    </row>
    <row r="41" spans="1:11" ht="15" customHeight="1" hidden="1">
      <c r="A41" s="10">
        <v>134</v>
      </c>
      <c r="B41" s="13">
        <v>95</v>
      </c>
      <c r="C41" s="46" t="str">
        <f>_xlfn.IFERROR(__xludf.DUMMYFUNCTION("""COMPUTED_VALUE"""),"SIVÁK")</f>
        <v>SIVÁK</v>
      </c>
      <c r="D41" s="41" t="str">
        <f>_xlfn.IFERROR(__xludf.DUMMYFUNCTION("""COMPUTED_VALUE"""),"Oto")</f>
        <v>Oto</v>
      </c>
      <c r="E41" s="7" t="s">
        <v>11</v>
      </c>
      <c r="F41" s="31" t="s">
        <v>3</v>
      </c>
      <c r="G41" s="26">
        <f>_xlfn.IFERROR(__xludf.DUMMYFUNCTION("""COMPUTED_VALUE"""),1986)</f>
        <v>1986</v>
      </c>
      <c r="H41" s="37" t="str">
        <f>_xlfn.IFERROR(__xludf.DUMMYFUNCTION("""COMPUTED_VALUE"""),"Prešov")</f>
        <v>Prešov</v>
      </c>
      <c r="I41" s="14" t="str">
        <f t="shared" si="0"/>
        <v>A</v>
      </c>
      <c r="J41" s="12">
        <f>COUNTIF(I$5:I41,I41)</f>
        <v>37</v>
      </c>
      <c r="K41" s="50"/>
    </row>
    <row r="42" spans="1:11" ht="15" customHeight="1" hidden="1">
      <c r="A42" s="174">
        <v>137</v>
      </c>
      <c r="B42" s="175">
        <v>118</v>
      </c>
      <c r="C42" s="176" t="str">
        <f>_xlfn.IFERROR(__xludf.DUMMYFUNCTION("""COMPUTED_VALUE"""),"ŠIMKO")</f>
        <v>ŠIMKO</v>
      </c>
      <c r="D42" s="177" t="str">
        <f>_xlfn.IFERROR(__xludf.DUMMYFUNCTION("""COMPUTED_VALUE"""),"Radoslav")</f>
        <v>Radoslav</v>
      </c>
      <c r="E42" s="178" t="s">
        <v>11</v>
      </c>
      <c r="F42" s="179" t="s">
        <v>3</v>
      </c>
      <c r="G42" s="180">
        <f>_xlfn.IFERROR(__xludf.DUMMYFUNCTION("""COMPUTED_VALUE"""),1983)</f>
        <v>1983</v>
      </c>
      <c r="H42" s="181" t="str">
        <f>_xlfn.IFERROR(__xludf.DUMMYFUNCTION("""COMPUTED_VALUE"""),"MARAS team")</f>
        <v>MARAS team</v>
      </c>
      <c r="I42" s="182" t="str">
        <f t="shared" si="0"/>
        <v>A</v>
      </c>
      <c r="J42" s="183">
        <f>COUNTIF(I$5:I42,I42)</f>
        <v>38</v>
      </c>
      <c r="K42" s="184"/>
    </row>
    <row r="43" spans="1:11" ht="15" customHeight="1" thickBot="1">
      <c r="A43" s="187" t="s">
        <v>112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1:11" s="74" customFormat="1" ht="15" customHeight="1">
      <c r="A44" s="65">
        <v>1</v>
      </c>
      <c r="B44" s="66">
        <v>112</v>
      </c>
      <c r="C44" s="67" t="s">
        <v>95</v>
      </c>
      <c r="D44" s="68" t="s">
        <v>22</v>
      </c>
      <c r="E44" s="69" t="s">
        <v>11</v>
      </c>
      <c r="F44" s="66" t="s">
        <v>3</v>
      </c>
      <c r="G44" s="70">
        <v>1979</v>
      </c>
      <c r="H44" s="71" t="s">
        <v>96</v>
      </c>
      <c r="I44" s="72" t="str">
        <f aca="true" t="shared" si="1" ref="I44:I60">IF(F44="m",IF($G$1-$G44&lt;=17,"JM",IF($G$1-$G44&lt;=39,"A",IF($G$1-$G44&lt;=49,"B",IF($G$1-$G44&lt;=59,"C",IF($G$1-$G44&lt;=69,"D","E"))))),IF($G$1-$G44&lt;=17,"JŽ",IF($G$1-$G44&lt;=39,"F",IF($G$1-$G44&lt;=49,"G",IF($G$1-$G44&lt;=59,"H","I")))))</f>
        <v>B</v>
      </c>
      <c r="J44" s="72">
        <f>COUNTIF(I$5:I44,I44)</f>
        <v>1</v>
      </c>
      <c r="K44" s="199">
        <v>0.02349537037037037</v>
      </c>
    </row>
    <row r="45" spans="1:11" s="104" customFormat="1" ht="15" customHeight="1">
      <c r="A45" s="94">
        <v>2</v>
      </c>
      <c r="B45" s="95">
        <v>76</v>
      </c>
      <c r="C45" s="105" t="str">
        <f>_xlfn.IFERROR(__xludf.DUMMYFUNCTION("""COMPUTED_VALUE"""),"PASTOR")</f>
        <v>PASTOR</v>
      </c>
      <c r="D45" s="106" t="str">
        <f>_xlfn.IFERROR(__xludf.DUMMYFUNCTION("""COMPUTED_VALUE"""),"František")</f>
        <v>František</v>
      </c>
      <c r="E45" s="98" t="s">
        <v>11</v>
      </c>
      <c r="F45" s="107" t="s">
        <v>3</v>
      </c>
      <c r="G45" s="108">
        <f>_xlfn.IFERROR(__xludf.DUMMYFUNCTION("""COMPUTED_VALUE"""),1979)</f>
        <v>1979</v>
      </c>
      <c r="H45" s="109" t="str">
        <f>_xlfn.IFERROR(__xludf.DUMMYFUNCTION("""COMPUTED_VALUE"""),"MARAS team")</f>
        <v>MARAS team</v>
      </c>
      <c r="I45" s="101" t="str">
        <f t="shared" si="1"/>
        <v>B</v>
      </c>
      <c r="J45" s="102">
        <f>COUNTIF(I$5:I45,I45)</f>
        <v>2</v>
      </c>
      <c r="K45" s="103">
        <v>0.02539351851851852</v>
      </c>
    </row>
    <row r="46" spans="1:11" s="127" customFormat="1" ht="15" customHeight="1" thickBot="1">
      <c r="A46" s="116">
        <v>3</v>
      </c>
      <c r="B46" s="117">
        <v>51</v>
      </c>
      <c r="C46" s="128" t="str">
        <f>_xlfn.IFERROR(__xludf.DUMMYFUNCTION("""COMPUTED_VALUE"""),"SIVUĽKA")</f>
        <v>SIVUĽKA</v>
      </c>
      <c r="D46" s="129" t="str">
        <f>_xlfn.IFERROR(__xludf.DUMMYFUNCTION("""COMPUTED_VALUE"""),"Martin")</f>
        <v>Martin</v>
      </c>
      <c r="E46" s="120" t="s">
        <v>11</v>
      </c>
      <c r="F46" s="130" t="s">
        <v>3</v>
      </c>
      <c r="G46" s="131">
        <f>_xlfn.IFERROR(__xludf.DUMMYFUNCTION("""COMPUTED_VALUE"""),1979)</f>
        <v>1979</v>
      </c>
      <c r="H46" s="132" t="str">
        <f>_xlfn.IFERROR(__xludf.DUMMYFUNCTION("""COMPUTED_VALUE"""),"MARAS team")</f>
        <v>MARAS team</v>
      </c>
      <c r="I46" s="124" t="str">
        <f t="shared" si="1"/>
        <v>B</v>
      </c>
      <c r="J46" s="125">
        <f>COUNTIF(I$5:I46,I46)</f>
        <v>3</v>
      </c>
      <c r="K46" s="126">
        <v>0.026053240740740738</v>
      </c>
    </row>
    <row r="47" spans="1:11" ht="15" customHeight="1" hidden="1">
      <c r="A47" s="5">
        <v>28</v>
      </c>
      <c r="B47" s="13">
        <v>86</v>
      </c>
      <c r="C47" s="46" t="str">
        <f>_xlfn.IFERROR(__xludf.DUMMYFUNCTION("""COMPUTED_VALUE"""),"BARTKO")</f>
        <v>BARTKO</v>
      </c>
      <c r="D47" s="41" t="str">
        <f>_xlfn.IFERROR(__xludf.DUMMYFUNCTION("""COMPUTED_VALUE"""),"Martin")</f>
        <v>Martin</v>
      </c>
      <c r="E47" s="7" t="s">
        <v>11</v>
      </c>
      <c r="F47" s="31" t="s">
        <v>3</v>
      </c>
      <c r="G47" s="26">
        <f>_xlfn.IFERROR(__xludf.DUMMYFUNCTION("""COMPUTED_VALUE"""),1976)</f>
        <v>1976</v>
      </c>
      <c r="H47" s="37" t="str">
        <f>_xlfn.IFERROR(__xludf.DUMMYFUNCTION("""COMPUTED_VALUE"""),"NW Running Prešov ")</f>
        <v>NW Running Prešov </v>
      </c>
      <c r="I47" s="14" t="str">
        <f t="shared" si="1"/>
        <v>B</v>
      </c>
      <c r="J47" s="12">
        <f>COUNTIF(I$5:I47,I47)</f>
        <v>4</v>
      </c>
      <c r="K47" s="50">
        <v>0.026099537037037036</v>
      </c>
    </row>
    <row r="48" spans="1:11" ht="15" customHeight="1" hidden="1">
      <c r="A48" s="10">
        <v>36</v>
      </c>
      <c r="B48" s="13">
        <v>83</v>
      </c>
      <c r="C48" s="45" t="str">
        <f>_xlfn.IFERROR(__xludf.DUMMYFUNCTION("""COMPUTED_VALUE"""),"KLUS")</f>
        <v>KLUS</v>
      </c>
      <c r="D48" s="40" t="str">
        <f>_xlfn.IFERROR(__xludf.DUMMYFUNCTION("""COMPUTED_VALUE"""),"Marek")</f>
        <v>Marek</v>
      </c>
      <c r="E48" s="7" t="s">
        <v>11</v>
      </c>
      <c r="F48" s="32" t="s">
        <v>3</v>
      </c>
      <c r="G48" s="27">
        <f>_xlfn.IFERROR(__xludf.DUMMYFUNCTION("""COMPUTED_VALUE"""),1976)</f>
        <v>1976</v>
      </c>
      <c r="H48" s="38" t="str">
        <f>_xlfn.IFERROR(__xludf.DUMMYFUNCTION("""COMPUTED_VALUE"""),"Prešov")</f>
        <v>Prešov</v>
      </c>
      <c r="I48" s="14" t="str">
        <f t="shared" si="1"/>
        <v>B</v>
      </c>
      <c r="J48" s="12">
        <f>COUNTIF(I$5:I48,I48)</f>
        <v>5</v>
      </c>
      <c r="K48" s="50">
        <v>0.02710648148148148</v>
      </c>
    </row>
    <row r="49" spans="1:11" ht="15" customHeight="1" hidden="1">
      <c r="A49" s="5">
        <v>39</v>
      </c>
      <c r="B49" s="13">
        <v>4</v>
      </c>
      <c r="C49" s="45" t="str">
        <f>_xlfn.IFERROR(__xludf.DUMMYFUNCTION("""COMPUTED_VALUE"""),"TRAMITA")</f>
        <v>TRAMITA</v>
      </c>
      <c r="D49" s="40" t="str">
        <f>_xlfn.IFERROR(__xludf.DUMMYFUNCTION("""COMPUTED_VALUE"""),"Slavomír")</f>
        <v>Slavomír</v>
      </c>
      <c r="E49" s="7" t="s">
        <v>11</v>
      </c>
      <c r="F49" s="32" t="s">
        <v>3</v>
      </c>
      <c r="G49" s="27">
        <f>_xlfn.IFERROR(__xludf.DUMMYFUNCTION("""COMPUTED_VALUE"""),1978)</f>
        <v>1978</v>
      </c>
      <c r="H49" s="38" t="str">
        <f>_xlfn.IFERROR(__xludf.DUMMYFUNCTION("""COMPUTED_VALUE"""),"STG Prešov")</f>
        <v>STG Prešov</v>
      </c>
      <c r="I49" s="14" t="str">
        <f t="shared" si="1"/>
        <v>B</v>
      </c>
      <c r="J49" s="12">
        <f>COUNTIF(I$5:I49,I49)</f>
        <v>6</v>
      </c>
      <c r="K49" s="50">
        <v>0.027395833333333338</v>
      </c>
    </row>
    <row r="50" spans="1:11" ht="15" customHeight="1" hidden="1">
      <c r="A50" s="10">
        <v>41</v>
      </c>
      <c r="B50" s="13">
        <v>75</v>
      </c>
      <c r="C50" s="44" t="s">
        <v>78</v>
      </c>
      <c r="D50" s="42" t="s">
        <v>79</v>
      </c>
      <c r="E50" s="7" t="s">
        <v>11</v>
      </c>
      <c r="F50" s="13" t="s">
        <v>3</v>
      </c>
      <c r="G50" s="28">
        <v>1980</v>
      </c>
      <c r="H50" s="39" t="s">
        <v>77</v>
      </c>
      <c r="I50" s="14" t="str">
        <f t="shared" si="1"/>
        <v>B</v>
      </c>
      <c r="J50" s="12">
        <f>COUNTIF(I$5:I50,I50)</f>
        <v>7</v>
      </c>
      <c r="K50" s="50">
        <v>0.027476851851851853</v>
      </c>
    </row>
    <row r="51" spans="1:11" ht="15" customHeight="1" hidden="1">
      <c r="A51" s="5">
        <v>44</v>
      </c>
      <c r="B51" s="13">
        <v>10</v>
      </c>
      <c r="C51" s="44" t="s">
        <v>37</v>
      </c>
      <c r="D51" s="42" t="s">
        <v>38</v>
      </c>
      <c r="E51" s="7" t="s">
        <v>11</v>
      </c>
      <c r="F51" s="13" t="s">
        <v>3</v>
      </c>
      <c r="G51" s="28">
        <v>1976</v>
      </c>
      <c r="H51" s="39" t="s">
        <v>39</v>
      </c>
      <c r="I51" s="14" t="str">
        <f t="shared" si="1"/>
        <v>B</v>
      </c>
      <c r="J51" s="12">
        <f>COUNTIF(I$5:I51,I51)</f>
        <v>8</v>
      </c>
      <c r="K51" s="50">
        <v>0.02766203703703704</v>
      </c>
    </row>
    <row r="52" spans="1:11" ht="15" customHeight="1" hidden="1">
      <c r="A52" s="10">
        <v>51</v>
      </c>
      <c r="B52" s="13">
        <v>67</v>
      </c>
      <c r="C52" s="44" t="s">
        <v>71</v>
      </c>
      <c r="D52" s="42" t="s">
        <v>72</v>
      </c>
      <c r="E52" s="7" t="s">
        <v>11</v>
      </c>
      <c r="F52" s="13" t="s">
        <v>3</v>
      </c>
      <c r="G52" s="28">
        <v>1977</v>
      </c>
      <c r="H52" s="39" t="s">
        <v>73</v>
      </c>
      <c r="I52" s="14" t="str">
        <f t="shared" si="1"/>
        <v>B</v>
      </c>
      <c r="J52" s="12">
        <f>COUNTIF(I$5:I52,I52)</f>
        <v>9</v>
      </c>
      <c r="K52" s="50">
        <v>0.028449074074074075</v>
      </c>
    </row>
    <row r="53" spans="1:11" ht="15" customHeight="1" hidden="1">
      <c r="A53" s="5">
        <v>64</v>
      </c>
      <c r="B53" s="13">
        <v>40</v>
      </c>
      <c r="C53" s="45" t="str">
        <f>_xlfn.IFERROR(__xludf.DUMMYFUNCTION("""COMPUTED_VALUE"""),"MICHALČIN")</f>
        <v>MICHALČIN</v>
      </c>
      <c r="D53" s="40" t="str">
        <f>_xlfn.IFERROR(__xludf.DUMMYFUNCTION("""COMPUTED_VALUE"""),"Sergej")</f>
        <v>Sergej</v>
      </c>
      <c r="E53" s="7" t="s">
        <v>11</v>
      </c>
      <c r="F53" s="32" t="s">
        <v>3</v>
      </c>
      <c r="G53" s="27">
        <f>_xlfn.IFERROR(__xludf.DUMMYFUNCTION("""COMPUTED_VALUE"""),1978)</f>
        <v>1978</v>
      </c>
      <c r="H53" s="38" t="str">
        <f>_xlfn.IFERROR(__xludf.DUMMYFUNCTION("""COMPUTED_VALUE"""),"Teriakovce ")</f>
        <v>Teriakovce </v>
      </c>
      <c r="I53" s="14" t="str">
        <f t="shared" si="1"/>
        <v>B</v>
      </c>
      <c r="J53" s="12">
        <f>COUNTIF(I$5:I53,I53)</f>
        <v>10</v>
      </c>
      <c r="K53" s="50">
        <v>0.02989583333333333</v>
      </c>
    </row>
    <row r="54" spans="1:11" ht="15" customHeight="1" hidden="1">
      <c r="A54" s="10">
        <v>69</v>
      </c>
      <c r="B54" s="13">
        <v>23</v>
      </c>
      <c r="C54" s="44" t="s">
        <v>49</v>
      </c>
      <c r="D54" s="42" t="s">
        <v>35</v>
      </c>
      <c r="E54" s="7" t="s">
        <v>11</v>
      </c>
      <c r="F54" s="13" t="s">
        <v>3</v>
      </c>
      <c r="G54" s="28">
        <v>1979</v>
      </c>
      <c r="H54" s="39" t="s">
        <v>26</v>
      </c>
      <c r="I54" s="14" t="str">
        <f t="shared" si="1"/>
        <v>B</v>
      </c>
      <c r="J54" s="12">
        <f>COUNTIF(I$5:I54,I54)</f>
        <v>11</v>
      </c>
      <c r="K54" s="50">
        <v>0.03043981481481482</v>
      </c>
    </row>
    <row r="55" spans="1:11" ht="15" customHeight="1" hidden="1">
      <c r="A55" s="5">
        <v>70</v>
      </c>
      <c r="B55" s="13">
        <v>7</v>
      </c>
      <c r="C55" s="44" t="s">
        <v>34</v>
      </c>
      <c r="D55" s="42" t="s">
        <v>35</v>
      </c>
      <c r="E55" s="7" t="s">
        <v>11</v>
      </c>
      <c r="F55" s="13" t="s">
        <v>3</v>
      </c>
      <c r="G55" s="28">
        <v>1977</v>
      </c>
      <c r="H55" s="39" t="s">
        <v>36</v>
      </c>
      <c r="I55" s="14" t="str">
        <f t="shared" si="1"/>
        <v>B</v>
      </c>
      <c r="J55" s="12">
        <f>COUNTIF(I$5:I55,I55)</f>
        <v>12</v>
      </c>
      <c r="K55" s="50">
        <v>0.030462962962962966</v>
      </c>
    </row>
    <row r="56" spans="1:11" ht="15" customHeight="1" hidden="1">
      <c r="A56" s="10">
        <v>83</v>
      </c>
      <c r="B56" s="13">
        <v>123</v>
      </c>
      <c r="C56" s="44" t="s">
        <v>24</v>
      </c>
      <c r="D56" s="42" t="s">
        <v>25</v>
      </c>
      <c r="E56" s="7" t="s">
        <v>11</v>
      </c>
      <c r="F56" s="13" t="s">
        <v>3</v>
      </c>
      <c r="G56" s="28">
        <v>1979</v>
      </c>
      <c r="H56" s="39" t="s">
        <v>26</v>
      </c>
      <c r="I56" s="14" t="str">
        <f t="shared" si="1"/>
        <v>B</v>
      </c>
      <c r="J56" s="12">
        <f>COUNTIF(I$5:I56,I56)</f>
        <v>13</v>
      </c>
      <c r="K56" s="50">
        <v>0.03175925925925926</v>
      </c>
    </row>
    <row r="57" spans="1:11" ht="15" customHeight="1" hidden="1">
      <c r="A57" s="5">
        <v>104</v>
      </c>
      <c r="B57" s="13">
        <v>129</v>
      </c>
      <c r="C57" s="46" t="str">
        <f>_xlfn.IFERROR(__xludf.DUMMYFUNCTION("""COMPUTED_VALUE"""),"POGÁNY")</f>
        <v>POGÁNY</v>
      </c>
      <c r="D57" s="41" t="str">
        <f>_xlfn.IFERROR(__xludf.DUMMYFUNCTION("""COMPUTED_VALUE"""),"Branko")</f>
        <v>Branko</v>
      </c>
      <c r="E57" s="7" t="s">
        <v>11</v>
      </c>
      <c r="F57" s="31" t="s">
        <v>3</v>
      </c>
      <c r="G57" s="26">
        <f>_xlfn.IFERROR(__xludf.DUMMYFUNCTION("""COMPUTED_VALUE"""),1978)</f>
        <v>1978</v>
      </c>
      <c r="H57" s="37" t="str">
        <f>_xlfn.IFERROR(__xludf.DUMMYFUNCTION("""COMPUTED_VALUE"""),"Active Life Košice")</f>
        <v>Active Life Košice</v>
      </c>
      <c r="I57" s="14" t="str">
        <f t="shared" si="1"/>
        <v>B</v>
      </c>
      <c r="J57" s="12">
        <f>COUNTIF(I$5:I57,I57)</f>
        <v>14</v>
      </c>
      <c r="K57" s="50">
        <v>0.034930555555555555</v>
      </c>
    </row>
    <row r="58" spans="1:11" ht="15" customHeight="1" hidden="1">
      <c r="A58" s="10">
        <v>108</v>
      </c>
      <c r="B58" s="13">
        <v>107</v>
      </c>
      <c r="C58" s="45" t="str">
        <f>_xlfn.IFERROR(__xludf.DUMMYFUNCTION("""COMPUTED_VALUE"""),"KOBULSKÝ")</f>
        <v>KOBULSKÝ</v>
      </c>
      <c r="D58" s="40" t="str">
        <f>_xlfn.IFERROR(__xludf.DUMMYFUNCTION("""COMPUTED_VALUE"""),"Juraj")</f>
        <v>Juraj</v>
      </c>
      <c r="E58" s="7" t="s">
        <v>11</v>
      </c>
      <c r="F58" s="32" t="s">
        <v>3</v>
      </c>
      <c r="G58" s="27">
        <f>_xlfn.IFERROR(__xludf.DUMMYFUNCTION("""COMPUTED_VALUE"""),1971)</f>
        <v>1971</v>
      </c>
      <c r="H58" s="38" t="str">
        <f>_xlfn.IFERROR(__xludf.DUMMYFUNCTION("""COMPUTED_VALUE"""),"Prešov")</f>
        <v>Prešov</v>
      </c>
      <c r="I58" s="14" t="str">
        <f t="shared" si="1"/>
        <v>B</v>
      </c>
      <c r="J58" s="12">
        <f>COUNTIF(I$5:I58,I58)</f>
        <v>15</v>
      </c>
      <c r="K58" s="50">
        <v>0.035833333333333335</v>
      </c>
    </row>
    <row r="59" spans="1:11" ht="15" customHeight="1" hidden="1">
      <c r="A59" s="5">
        <v>123</v>
      </c>
      <c r="B59" s="13">
        <v>136</v>
      </c>
      <c r="C59" s="46" t="str">
        <f>_xlfn.IFERROR(__xludf.DUMMYFUNCTION("""COMPUTED_VALUE"""),"BENKO")</f>
        <v>BENKO</v>
      </c>
      <c r="D59" s="41" t="str">
        <f>_xlfn.IFERROR(__xludf.DUMMYFUNCTION("""COMPUTED_VALUE"""),"Ján")</f>
        <v>Ján</v>
      </c>
      <c r="E59" s="7" t="s">
        <v>11</v>
      </c>
      <c r="F59" s="31" t="s">
        <v>3</v>
      </c>
      <c r="G59" s="26">
        <f>_xlfn.IFERROR(__xludf.DUMMYFUNCTION("""COMPUTED_VALUE"""),1980)</f>
        <v>1980</v>
      </c>
      <c r="H59" s="37" t="str">
        <f>_xlfn.IFERROR(__xludf.DUMMYFUNCTION("""COMPUTED_VALUE"""),"Prešov")</f>
        <v>Prešov</v>
      </c>
      <c r="I59" s="14" t="str">
        <f t="shared" si="1"/>
        <v>B</v>
      </c>
      <c r="J59" s="12">
        <f>COUNTIF(I$5:I59,I59)</f>
        <v>16</v>
      </c>
      <c r="K59" s="50" t="s">
        <v>99</v>
      </c>
    </row>
    <row r="60" spans="1:11" ht="15" customHeight="1" hidden="1">
      <c r="A60" s="10">
        <v>130</v>
      </c>
      <c r="B60" s="13">
        <v>79</v>
      </c>
      <c r="C60" s="45" t="str">
        <f>_xlfn.IFERROR(__xludf.DUMMYFUNCTION("""COMPUTED_VALUE"""),"ULIČNÝ")</f>
        <v>ULIČNÝ</v>
      </c>
      <c r="D60" s="40" t="str">
        <f>_xlfn.IFERROR(__xludf.DUMMYFUNCTION("""COMPUTED_VALUE"""),"Pavol")</f>
        <v>Pavol</v>
      </c>
      <c r="E60" s="7" t="s">
        <v>11</v>
      </c>
      <c r="F60" s="32" t="s">
        <v>3</v>
      </c>
      <c r="G60" s="27">
        <f>_xlfn.IFERROR(__xludf.DUMMYFUNCTION("""COMPUTED_VALUE"""),1976)</f>
        <v>1976</v>
      </c>
      <c r="H60" s="38" t="str">
        <f>_xlfn.IFERROR(__xludf.DUMMYFUNCTION("""COMPUTED_VALUE"""),"MARAS team")</f>
        <v>MARAS team</v>
      </c>
      <c r="I60" s="14" t="str">
        <f t="shared" si="1"/>
        <v>B</v>
      </c>
      <c r="J60" s="12">
        <f>COUNTIF(I$5:I60,I60)</f>
        <v>17</v>
      </c>
      <c r="K60" s="50"/>
    </row>
    <row r="61" spans="1:11" ht="15" customHeight="1" thickBot="1">
      <c r="A61" s="187" t="s">
        <v>113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9"/>
    </row>
    <row r="62" spans="1:11" s="74" customFormat="1" ht="15" customHeight="1">
      <c r="A62" s="82">
        <v>1</v>
      </c>
      <c r="B62" s="75">
        <v>53</v>
      </c>
      <c r="C62" s="76" t="s">
        <v>62</v>
      </c>
      <c r="D62" s="77" t="s">
        <v>63</v>
      </c>
      <c r="E62" s="78" t="s">
        <v>11</v>
      </c>
      <c r="F62" s="75" t="s">
        <v>3</v>
      </c>
      <c r="G62" s="79">
        <v>1966</v>
      </c>
      <c r="H62" s="80" t="s">
        <v>64</v>
      </c>
      <c r="I62" s="72" t="str">
        <f aca="true" t="shared" si="2" ref="I62:I79">IF(F62="m",IF($G$1-$G62&lt;=17,"JM",IF($G$1-$G62&lt;=39,"A",IF($G$1-$G62&lt;=49,"B",IF($G$1-$G62&lt;=59,"C",IF($G$1-$G62&lt;=69,"D","E"))))),IF($G$1-$G62&lt;=17,"JŽ",IF($G$1-$G62&lt;=39,"F",IF($G$1-$G62&lt;=49,"G",IF($G$1-$G62&lt;=59,"H","I")))))</f>
        <v>C</v>
      </c>
      <c r="J62" s="81">
        <f>COUNTIF(I$5:I62,I62)</f>
        <v>1</v>
      </c>
      <c r="K62" s="73">
        <v>0.022858796296296294</v>
      </c>
    </row>
    <row r="63" spans="1:11" s="104" customFormat="1" ht="15" customHeight="1">
      <c r="A63" s="110">
        <v>2</v>
      </c>
      <c r="B63" s="95">
        <v>113</v>
      </c>
      <c r="C63" s="96" t="s">
        <v>97</v>
      </c>
      <c r="D63" s="97" t="s">
        <v>47</v>
      </c>
      <c r="E63" s="98" t="s">
        <v>11</v>
      </c>
      <c r="F63" s="95" t="s">
        <v>3</v>
      </c>
      <c r="G63" s="99">
        <v>1965</v>
      </c>
      <c r="H63" s="100" t="s">
        <v>96</v>
      </c>
      <c r="I63" s="101" t="str">
        <f t="shared" si="2"/>
        <v>C</v>
      </c>
      <c r="J63" s="102">
        <f>COUNTIF(I$5:I63,I63)</f>
        <v>2</v>
      </c>
      <c r="K63" s="103">
        <v>0.023067129629629632</v>
      </c>
    </row>
    <row r="64" spans="1:11" s="127" customFormat="1" ht="15" customHeight="1" thickBot="1">
      <c r="A64" s="133">
        <v>3</v>
      </c>
      <c r="B64" s="117">
        <v>1</v>
      </c>
      <c r="C64" s="134" t="s">
        <v>54</v>
      </c>
      <c r="D64" s="135" t="s">
        <v>55</v>
      </c>
      <c r="E64" s="120" t="s">
        <v>11</v>
      </c>
      <c r="F64" s="117" t="s">
        <v>3</v>
      </c>
      <c r="G64" s="136">
        <v>1965</v>
      </c>
      <c r="H64" s="137" t="s">
        <v>31</v>
      </c>
      <c r="I64" s="124" t="str">
        <f t="shared" si="2"/>
        <v>C</v>
      </c>
      <c r="J64" s="125">
        <f>COUNTIF(I$5:I64,I64)</f>
        <v>3</v>
      </c>
      <c r="K64" s="126">
        <v>0.024537037037037038</v>
      </c>
    </row>
    <row r="65" spans="1:11" ht="15" customHeight="1" hidden="1">
      <c r="A65" s="10">
        <v>13</v>
      </c>
      <c r="B65" s="13">
        <v>2</v>
      </c>
      <c r="C65" s="44" t="s">
        <v>32</v>
      </c>
      <c r="D65" s="42" t="s">
        <v>56</v>
      </c>
      <c r="E65" s="7" t="s">
        <v>11</v>
      </c>
      <c r="F65" s="13" t="s">
        <v>3</v>
      </c>
      <c r="G65" s="28">
        <v>1967</v>
      </c>
      <c r="H65" s="39" t="s">
        <v>31</v>
      </c>
      <c r="I65" s="14" t="str">
        <f t="shared" si="2"/>
        <v>C</v>
      </c>
      <c r="J65" s="12">
        <f>COUNTIF(I$5:I65,I65)</f>
        <v>4</v>
      </c>
      <c r="K65" s="50">
        <v>0.02515046296296296</v>
      </c>
    </row>
    <row r="66" spans="1:11" ht="15" customHeight="1" hidden="1">
      <c r="A66" s="5">
        <v>18</v>
      </c>
      <c r="B66" s="13">
        <v>98</v>
      </c>
      <c r="C66" s="45" t="str">
        <f>_xlfn.IFERROR(__xludf.DUMMYFUNCTION("""COMPUTED_VALUE"""),"FEDOR")</f>
        <v>FEDOR</v>
      </c>
      <c r="D66" s="40" t="str">
        <f>_xlfn.IFERROR(__xludf.DUMMYFUNCTION("""COMPUTED_VALUE"""),"Ondrej")</f>
        <v>Ondrej</v>
      </c>
      <c r="E66" s="7" t="s">
        <v>11</v>
      </c>
      <c r="F66" s="32" t="s">
        <v>3</v>
      </c>
      <c r="G66" s="27">
        <f>_xlfn.IFERROR(__xludf.DUMMYFUNCTION("""COMPUTED_VALUE"""),1969)</f>
        <v>1969</v>
      </c>
      <c r="H66" s="38" t="str">
        <f>_xlfn.IFERROR(__xludf.DUMMYFUNCTION("""COMPUTED_VALUE"""),"3MRsport Prešov")</f>
        <v>3MRsport Prešov</v>
      </c>
      <c r="I66" s="14" t="str">
        <f t="shared" si="2"/>
        <v>C</v>
      </c>
      <c r="J66" s="12">
        <f>COUNTIF(I$5:I66,I66)</f>
        <v>5</v>
      </c>
      <c r="K66" s="50">
        <v>0.02550925925925926</v>
      </c>
    </row>
    <row r="67" spans="1:11" ht="15" customHeight="1" hidden="1">
      <c r="A67" s="10">
        <v>23</v>
      </c>
      <c r="B67" s="13">
        <v>88</v>
      </c>
      <c r="C67" s="45" t="str">
        <f>_xlfn.IFERROR(__xludf.DUMMYFUNCTION("""COMPUTED_VALUE"""),"KALINA")</f>
        <v>KALINA</v>
      </c>
      <c r="D67" s="40" t="str">
        <f>_xlfn.IFERROR(__xludf.DUMMYFUNCTION("""COMPUTED_VALUE"""),"Martin")</f>
        <v>Martin</v>
      </c>
      <c r="E67" s="7" t="s">
        <v>11</v>
      </c>
      <c r="F67" s="32" t="s">
        <v>3</v>
      </c>
      <c r="G67" s="27">
        <f>_xlfn.IFERROR(__xludf.DUMMYFUNCTION("""COMPUTED_VALUE"""),1964)</f>
        <v>1964</v>
      </c>
      <c r="H67" s="38" t="str">
        <f>_xlfn.IFERROR(__xludf.DUMMYFUNCTION("""COMPUTED_VALUE"""),"Iris Prešov")</f>
        <v>Iris Prešov</v>
      </c>
      <c r="I67" s="14" t="str">
        <f t="shared" si="2"/>
        <v>C</v>
      </c>
      <c r="J67" s="12">
        <f>COUNTIF(I$5:I67,I67)</f>
        <v>6</v>
      </c>
      <c r="K67" s="50">
        <v>0.025949074074074072</v>
      </c>
    </row>
    <row r="68" spans="1:11" ht="15" customHeight="1" hidden="1">
      <c r="A68" s="5">
        <v>26</v>
      </c>
      <c r="B68" s="13">
        <v>125</v>
      </c>
      <c r="C68" s="46" t="str">
        <f>_xlfn.IFERROR(__xludf.DUMMYFUNCTION("""COMPUTED_VALUE"""),"TÓTH")</f>
        <v>TÓTH</v>
      </c>
      <c r="D68" s="41" t="str">
        <f>_xlfn.IFERROR(__xludf.DUMMYFUNCTION("""COMPUTED_VALUE"""),"Mikuláš")</f>
        <v>Mikuláš</v>
      </c>
      <c r="E68" s="7" t="s">
        <v>11</v>
      </c>
      <c r="F68" s="31" t="s">
        <v>3</v>
      </c>
      <c r="G68" s="26">
        <f>_xlfn.IFERROR(__xludf.DUMMYFUNCTION("""COMPUTED_VALUE"""),1970)</f>
        <v>1970</v>
      </c>
      <c r="H68" s="37" t="str">
        <f>_xlfn.IFERROR(__xludf.DUMMYFUNCTION("""COMPUTED_VALUE"""),"MBK  Veľké Kapušany")</f>
        <v>MBK  Veľké Kapušany</v>
      </c>
      <c r="I68" s="14" t="str">
        <f t="shared" si="2"/>
        <v>C</v>
      </c>
      <c r="J68" s="12">
        <f>COUNTIF(I$5:I68,I68)</f>
        <v>7</v>
      </c>
      <c r="K68" s="50">
        <v>0.026030092592592594</v>
      </c>
    </row>
    <row r="69" spans="1:11" ht="15" customHeight="1" hidden="1">
      <c r="A69" s="10">
        <v>46</v>
      </c>
      <c r="B69" s="13">
        <v>103</v>
      </c>
      <c r="C69" s="46" t="str">
        <f>_xlfn.IFERROR(__xludf.DUMMYFUNCTION("""COMPUTED_VALUE"""),"COLLINS")</f>
        <v>COLLINS</v>
      </c>
      <c r="D69" s="41" t="str">
        <f>_xlfn.IFERROR(__xludf.DUMMYFUNCTION("""COMPUTED_VALUE"""),"Ben")</f>
        <v>Ben</v>
      </c>
      <c r="E69" s="7" t="s">
        <v>11</v>
      </c>
      <c r="F69" s="31" t="s">
        <v>3</v>
      </c>
      <c r="G69" s="26">
        <f>_xlfn.IFERROR(__xludf.DUMMYFUNCTION("""COMPUTED_VALUE"""),1968)</f>
        <v>1968</v>
      </c>
      <c r="H69" s="37" t="str">
        <f>_xlfn.IFERROR(__xludf.DUMMYFUNCTION("""COMPUTED_VALUE"""),"OBS Prešov")</f>
        <v>OBS Prešov</v>
      </c>
      <c r="I69" s="14" t="str">
        <f t="shared" si="2"/>
        <v>C</v>
      </c>
      <c r="J69" s="12">
        <f>COUNTIF(I$5:I69,I69)</f>
        <v>8</v>
      </c>
      <c r="K69" s="50">
        <v>0.027951388888888887</v>
      </c>
    </row>
    <row r="70" spans="1:11" ht="15" customHeight="1" hidden="1">
      <c r="A70" s="5">
        <v>50</v>
      </c>
      <c r="B70" s="13">
        <v>111</v>
      </c>
      <c r="C70" s="45" t="str">
        <f>_xlfn.IFERROR(__xludf.DUMMYFUNCTION("""COMPUTED_VALUE"""),"KOMÁR")</f>
        <v>KOMÁR</v>
      </c>
      <c r="D70" s="40" t="str">
        <f>_xlfn.IFERROR(__xludf.DUMMYFUNCTION("""COMPUTED_VALUE"""),"Pavol")</f>
        <v>Pavol</v>
      </c>
      <c r="E70" s="7" t="s">
        <v>11</v>
      </c>
      <c r="F70" s="32" t="s">
        <v>3</v>
      </c>
      <c r="G70" s="27">
        <f>_xlfn.IFERROR(__xludf.DUMMYFUNCTION("""COMPUTED_VALUE"""),1965)</f>
        <v>1965</v>
      </c>
      <c r="H70" s="38" t="str">
        <f>_xlfn.IFERROR(__xludf.DUMMYFUNCTION("""COMPUTED_VALUE"""),"MARAS team")</f>
        <v>MARAS team</v>
      </c>
      <c r="I70" s="14" t="str">
        <f t="shared" si="2"/>
        <v>C</v>
      </c>
      <c r="J70" s="12">
        <f>COUNTIF(I$5:I70,I70)</f>
        <v>9</v>
      </c>
      <c r="K70" s="50">
        <v>0.028391203703703707</v>
      </c>
    </row>
    <row r="71" spans="1:11" ht="15" customHeight="1" hidden="1">
      <c r="A71" s="10">
        <v>53</v>
      </c>
      <c r="B71" s="13">
        <v>96</v>
      </c>
      <c r="C71" s="46" t="str">
        <f>_xlfn.IFERROR(__xludf.DUMMYFUNCTION("""COMPUTED_VALUE"""),"HORVÁTH")</f>
        <v>HORVÁTH</v>
      </c>
      <c r="D71" s="41" t="str">
        <f>_xlfn.IFERROR(__xludf.DUMMYFUNCTION("""COMPUTED_VALUE"""),"Peter")</f>
        <v>Peter</v>
      </c>
      <c r="E71" s="7" t="s">
        <v>11</v>
      </c>
      <c r="F71" s="31" t="s">
        <v>3</v>
      </c>
      <c r="G71" s="26">
        <f>_xlfn.IFERROR(__xludf.DUMMYFUNCTION("""COMPUTED_VALUE"""),1968)</f>
        <v>1968</v>
      </c>
      <c r="H71" s="37" t="str">
        <f>_xlfn.IFERROR(__xludf.DUMMYFUNCTION("""COMPUTED_VALUE"""),"BeHoNe Prešov")</f>
        <v>BeHoNe Prešov</v>
      </c>
      <c r="I71" s="14" t="str">
        <f t="shared" si="2"/>
        <v>C</v>
      </c>
      <c r="J71" s="12">
        <f>COUNTIF(I$5:I71,I71)</f>
        <v>10</v>
      </c>
      <c r="K71" s="50">
        <v>0.028599537037037034</v>
      </c>
    </row>
    <row r="72" spans="1:11" ht="15" customHeight="1" hidden="1">
      <c r="A72" s="5">
        <v>56</v>
      </c>
      <c r="B72" s="13">
        <v>102</v>
      </c>
      <c r="C72" s="45" t="str">
        <f>_xlfn.IFERROR(__xludf.DUMMYFUNCTION("""COMPUTED_VALUE"""),"GRESTY")</f>
        <v>GRESTY</v>
      </c>
      <c r="D72" s="40" t="str">
        <f>_xlfn.IFERROR(__xludf.DUMMYFUNCTION("""COMPUTED_VALUE"""),"Jonathan")</f>
        <v>Jonathan</v>
      </c>
      <c r="E72" s="7" t="s">
        <v>11</v>
      </c>
      <c r="F72" s="32" t="s">
        <v>3</v>
      </c>
      <c r="G72" s="27">
        <f>_xlfn.IFERROR(__xludf.DUMMYFUNCTION("""COMPUTED_VALUE"""),1965)</f>
        <v>1965</v>
      </c>
      <c r="H72" s="38" t="str">
        <f>_xlfn.IFERROR(__xludf.DUMMYFUNCTION("""COMPUTED_VALUE"""),"OBS Prešov")</f>
        <v>OBS Prešov</v>
      </c>
      <c r="I72" s="14" t="str">
        <f t="shared" si="2"/>
        <v>C</v>
      </c>
      <c r="J72" s="12">
        <f>COUNTIF(I$5:I72,I72)</f>
        <v>11</v>
      </c>
      <c r="K72" s="50">
        <v>0.029027777777777777</v>
      </c>
    </row>
    <row r="73" spans="1:11" ht="15" customHeight="1" hidden="1">
      <c r="A73" s="10">
        <v>66</v>
      </c>
      <c r="B73" s="13">
        <v>127</v>
      </c>
      <c r="C73" s="46" t="str">
        <f>_xlfn.IFERROR(__xludf.DUMMYFUNCTION("""COMPUTED_VALUE"""),"PUŠKÁRIK")</f>
        <v>PUŠKÁRIK</v>
      </c>
      <c r="D73" s="41" t="str">
        <f>_xlfn.IFERROR(__xludf.DUMMYFUNCTION("""COMPUTED_VALUE"""),"Benjamin")</f>
        <v>Benjamin</v>
      </c>
      <c r="E73" s="7" t="s">
        <v>11</v>
      </c>
      <c r="F73" s="31" t="s">
        <v>3</v>
      </c>
      <c r="G73" s="26">
        <f>_xlfn.IFERROR(__xludf.DUMMYFUNCTION("""COMPUTED_VALUE"""),1965)</f>
        <v>1965</v>
      </c>
      <c r="H73" s="37" t="str">
        <f>_xlfn.IFERROR(__xludf.DUMMYFUNCTION("""COMPUTED_VALUE"""),"MBK Veľké Kapušany")</f>
        <v>MBK Veľké Kapušany</v>
      </c>
      <c r="I73" s="14" t="str">
        <f t="shared" si="2"/>
        <v>C</v>
      </c>
      <c r="J73" s="12">
        <f>COUNTIF(I$5:I73,I73)</f>
        <v>12</v>
      </c>
      <c r="K73" s="50">
        <v>0.030381944444444444</v>
      </c>
    </row>
    <row r="74" spans="1:11" ht="15" customHeight="1" hidden="1">
      <c r="A74" s="5">
        <v>76</v>
      </c>
      <c r="B74" s="13">
        <v>13</v>
      </c>
      <c r="C74" s="45" t="str">
        <f>_xlfn.IFERROR(__xludf.DUMMYFUNCTION("""COMPUTED_VALUE"""),"MAJERNÍK")</f>
        <v>MAJERNÍK</v>
      </c>
      <c r="D74" s="40" t="str">
        <f>_xlfn.IFERROR(__xludf.DUMMYFUNCTION("""COMPUTED_VALUE"""),"Milan")</f>
        <v>Milan</v>
      </c>
      <c r="E74" s="7" t="s">
        <v>11</v>
      </c>
      <c r="F74" s="32" t="s">
        <v>3</v>
      </c>
      <c r="G74" s="27">
        <f>_xlfn.IFERROR(__xludf.DUMMYFUNCTION("""COMPUTED_VALUE"""),1970)</f>
        <v>1970</v>
      </c>
      <c r="H74" s="38" t="str">
        <f>_xlfn.IFERROR(__xludf.DUMMYFUNCTION("""COMPUTED_VALUE"""),"MARAS team ")</f>
        <v>MARAS team </v>
      </c>
      <c r="I74" s="14" t="str">
        <f t="shared" si="2"/>
        <v>C</v>
      </c>
      <c r="J74" s="12">
        <f>COUNTIF(I$5:I74,I74)</f>
        <v>13</v>
      </c>
      <c r="K74" s="50">
        <v>0.03108796296296296</v>
      </c>
    </row>
    <row r="75" spans="1:11" ht="15" customHeight="1" hidden="1">
      <c r="A75" s="10">
        <v>82</v>
      </c>
      <c r="B75" s="13">
        <v>38</v>
      </c>
      <c r="C75" s="46" t="str">
        <f>_xlfn.IFERROR(__xludf.DUMMYFUNCTION("""COMPUTED_VALUE"""),"MIČO")</f>
        <v>MIČO</v>
      </c>
      <c r="D75" s="41" t="str">
        <f>_xlfn.IFERROR(__xludf.DUMMYFUNCTION("""COMPUTED_VALUE"""),"Martin")</f>
        <v>Martin</v>
      </c>
      <c r="E75" s="7" t="s">
        <v>11</v>
      </c>
      <c r="F75" s="31" t="s">
        <v>3</v>
      </c>
      <c r="G75" s="26">
        <f>_xlfn.IFERROR(__xludf.DUMMYFUNCTION("""COMPUTED_VALUE"""),1970)</f>
        <v>1970</v>
      </c>
      <c r="H75" s="37" t="str">
        <f>_xlfn.IFERROR(__xludf.DUMMYFUNCTION("""COMPUTED_VALUE"""),"Prešov ")</f>
        <v>Prešov </v>
      </c>
      <c r="I75" s="14" t="str">
        <f t="shared" si="2"/>
        <v>C</v>
      </c>
      <c r="J75" s="12">
        <f>COUNTIF(I$5:I75,I75)</f>
        <v>14</v>
      </c>
      <c r="K75" s="50">
        <v>0.03170138888888889</v>
      </c>
    </row>
    <row r="76" spans="1:11" ht="15" customHeight="1" hidden="1">
      <c r="A76" s="5">
        <v>103</v>
      </c>
      <c r="B76" s="13">
        <v>99</v>
      </c>
      <c r="C76" s="46" t="str">
        <f>_xlfn.IFERROR(__xludf.DUMMYFUNCTION("""COMPUTED_VALUE"""),"RUSINKO")</f>
        <v>RUSINKO</v>
      </c>
      <c r="D76" s="41" t="str">
        <f>_xlfn.IFERROR(__xludf.DUMMYFUNCTION("""COMPUTED_VALUE"""),"Miroslav")</f>
        <v>Miroslav</v>
      </c>
      <c r="E76" s="7" t="s">
        <v>11</v>
      </c>
      <c r="F76" s="31" t="s">
        <v>3</v>
      </c>
      <c r="G76" s="26">
        <f>_xlfn.IFERROR(__xludf.DUMMYFUNCTION("""COMPUTED_VALUE"""),1967)</f>
        <v>1967</v>
      </c>
      <c r="H76" s="37" t="str">
        <f>_xlfn.IFERROR(__xludf.DUMMYFUNCTION("""COMPUTED_VALUE"""),"MARAS team")</f>
        <v>MARAS team</v>
      </c>
      <c r="I76" s="14" t="str">
        <f t="shared" si="2"/>
        <v>C</v>
      </c>
      <c r="J76" s="12">
        <f>COUNTIF(I$5:I76,I76)</f>
        <v>15</v>
      </c>
      <c r="K76" s="50">
        <v>0.034826388888888886</v>
      </c>
    </row>
    <row r="77" spans="1:11" ht="15" customHeight="1" hidden="1">
      <c r="A77" s="10">
        <v>107</v>
      </c>
      <c r="B77" s="13">
        <v>73</v>
      </c>
      <c r="C77" s="46" t="str">
        <f>_xlfn.IFERROR(__xludf.DUMMYFUNCTION("""COMPUTED_VALUE"""),"GRÁC")</f>
        <v>GRÁC</v>
      </c>
      <c r="D77" s="41" t="s">
        <v>19</v>
      </c>
      <c r="E77" s="7" t="s">
        <v>11</v>
      </c>
      <c r="F77" s="31" t="s">
        <v>3</v>
      </c>
      <c r="G77" s="26">
        <f>_xlfn.IFERROR(__xludf.DUMMYFUNCTION("""COMPUTED_VALUE"""),1964)</f>
        <v>1964</v>
      </c>
      <c r="H77" s="37" t="str">
        <f>_xlfn.IFERROR(__xludf.DUMMYFUNCTION("""COMPUTED_VALUE"""),"Poproč ")</f>
        <v>Poproč </v>
      </c>
      <c r="I77" s="14" t="str">
        <f t="shared" si="2"/>
        <v>C</v>
      </c>
      <c r="J77" s="12">
        <f>COUNTIF(I$5:I77,I77)</f>
        <v>16</v>
      </c>
      <c r="K77" s="50">
        <v>0.03556712962962963</v>
      </c>
    </row>
    <row r="78" spans="1:11" ht="15" customHeight="1" hidden="1">
      <c r="A78" s="5">
        <v>110</v>
      </c>
      <c r="B78" s="13">
        <v>68</v>
      </c>
      <c r="C78" s="45" t="str">
        <f>_xlfn.IFERROR(__xludf.DUMMYFUNCTION("""COMPUTED_VALUE"""),"ZUBAL")</f>
        <v>ZUBAL</v>
      </c>
      <c r="D78" s="40" t="str">
        <f>_xlfn.IFERROR(__xludf.DUMMYFUNCTION("""COMPUTED_VALUE"""),"Pavol")</f>
        <v>Pavol</v>
      </c>
      <c r="E78" s="7" t="s">
        <v>11</v>
      </c>
      <c r="F78" s="32" t="s">
        <v>3</v>
      </c>
      <c r="G78" s="27">
        <f>_xlfn.IFERROR(__xludf.DUMMYFUNCTION("""COMPUTED_VALUE"""),1962)</f>
        <v>1962</v>
      </c>
      <c r="H78" s="38" t="str">
        <f>_xlfn.IFERROR(__xludf.DUMMYFUNCTION("""COMPUTED_VALUE"""),"MARAS team")</f>
        <v>MARAS team</v>
      </c>
      <c r="I78" s="14" t="str">
        <f t="shared" si="2"/>
        <v>C</v>
      </c>
      <c r="J78" s="12">
        <f>COUNTIF(I$5:I78,I78)</f>
        <v>17</v>
      </c>
      <c r="K78" s="50">
        <v>0.03619212962962963</v>
      </c>
    </row>
    <row r="79" spans="1:11" ht="15" customHeight="1" hidden="1">
      <c r="A79" s="10">
        <v>124</v>
      </c>
      <c r="B79" s="13">
        <v>11</v>
      </c>
      <c r="C79" s="45" t="str">
        <f>_xlfn.IFERROR(__xludf.DUMMYFUNCTION("""COMPUTED_VALUE"""),"MARAS")</f>
        <v>MARAS</v>
      </c>
      <c r="D79" s="40" t="str">
        <f>_xlfn.IFERROR(__xludf.DUMMYFUNCTION("""COMPUTED_VALUE"""),"Ladislav")</f>
        <v>Ladislav</v>
      </c>
      <c r="E79" s="7" t="s">
        <v>11</v>
      </c>
      <c r="F79" s="32" t="s">
        <v>3</v>
      </c>
      <c r="G79" s="27">
        <f>_xlfn.IFERROR(__xludf.DUMMYFUNCTION("""COMPUTED_VALUE"""),1963)</f>
        <v>1963</v>
      </c>
      <c r="H79" s="38" t="str">
        <f>_xlfn.IFERROR(__xludf.DUMMYFUNCTION("""COMPUTED_VALUE"""),"MARAS team")</f>
        <v>MARAS team</v>
      </c>
      <c r="I79" s="14" t="str">
        <f t="shared" si="2"/>
        <v>C</v>
      </c>
      <c r="J79" s="12">
        <f>COUNTIF(I$5:I79,I79)</f>
        <v>18</v>
      </c>
      <c r="K79" s="50"/>
    </row>
    <row r="80" spans="1:11" ht="15" customHeight="1" thickBot="1">
      <c r="A80" s="187" t="s">
        <v>114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9"/>
    </row>
    <row r="81" spans="1:11" s="74" customFormat="1" ht="15" customHeight="1">
      <c r="A81" s="82">
        <v>1</v>
      </c>
      <c r="B81" s="75">
        <v>21</v>
      </c>
      <c r="C81" s="76" t="s">
        <v>46</v>
      </c>
      <c r="D81" s="77" t="s">
        <v>47</v>
      </c>
      <c r="E81" s="78" t="s">
        <v>11</v>
      </c>
      <c r="F81" s="75" t="s">
        <v>3</v>
      </c>
      <c r="G81" s="79">
        <v>1960</v>
      </c>
      <c r="H81" s="80" t="s">
        <v>48</v>
      </c>
      <c r="I81" s="72" t="str">
        <f aca="true" t="shared" si="3" ref="I81:I91">IF(F81="m",IF($G$1-$G81&lt;=17,"JM",IF($G$1-$G81&lt;=39,"A",IF($G$1-$G81&lt;=49,"B",IF($G$1-$G81&lt;=59,"C",IF($G$1-$G81&lt;=69,"D","E"))))),IF($G$1-$G81&lt;=17,"JŽ",IF($G$1-$G81&lt;=39,"F",IF($G$1-$G81&lt;=49,"G",IF($G$1-$G81&lt;=59,"H","I")))))</f>
        <v>D</v>
      </c>
      <c r="J81" s="81">
        <f>COUNTIF(I$5:I81,I81)</f>
        <v>1</v>
      </c>
      <c r="K81" s="73">
        <v>0.025902777777777775</v>
      </c>
    </row>
    <row r="82" spans="1:11" s="104" customFormat="1" ht="15" customHeight="1">
      <c r="A82" s="110">
        <v>2</v>
      </c>
      <c r="B82" s="95">
        <v>36</v>
      </c>
      <c r="C82" s="111" t="str">
        <f>_xlfn.IFERROR(__xludf.DUMMYFUNCTION("""COMPUTED_VALUE"""),"VILHAN")</f>
        <v>VILHAN</v>
      </c>
      <c r="D82" s="112" t="str">
        <f>_xlfn.IFERROR(__xludf.DUMMYFUNCTION("""COMPUTED_VALUE"""),"Peter")</f>
        <v>Peter</v>
      </c>
      <c r="E82" s="98" t="s">
        <v>11</v>
      </c>
      <c r="F82" s="113" t="s">
        <v>3</v>
      </c>
      <c r="G82" s="114">
        <f>_xlfn.IFERROR(__xludf.DUMMYFUNCTION("""COMPUTED_VALUE"""),1954)</f>
        <v>1954</v>
      </c>
      <c r="H82" s="115" t="str">
        <f>_xlfn.IFERROR(__xludf.DUMMYFUNCTION("""COMPUTED_VALUE"""),"Košice")</f>
        <v>Košice</v>
      </c>
      <c r="I82" s="101" t="str">
        <f t="shared" si="3"/>
        <v>D</v>
      </c>
      <c r="J82" s="102">
        <f>COUNTIF(I$5:I82,I82)</f>
        <v>2</v>
      </c>
      <c r="K82" s="103">
        <v>0.02596064814814815</v>
      </c>
    </row>
    <row r="83" spans="1:11" s="127" customFormat="1" ht="15" customHeight="1" thickBot="1">
      <c r="A83" s="133">
        <v>3</v>
      </c>
      <c r="B83" s="117">
        <v>92</v>
      </c>
      <c r="C83" s="128" t="str">
        <f>_xlfn.IFERROR(__xludf.DUMMYFUNCTION("""COMPUTED_VALUE"""),"KORMANÍK")</f>
        <v>KORMANÍK</v>
      </c>
      <c r="D83" s="129" t="str">
        <f>_xlfn.IFERROR(__xludf.DUMMYFUNCTION("""COMPUTED_VALUE"""),"Lukáš")</f>
        <v>Lukáš</v>
      </c>
      <c r="E83" s="120" t="s">
        <v>11</v>
      </c>
      <c r="F83" s="130" t="s">
        <v>3</v>
      </c>
      <c r="G83" s="131">
        <f>_xlfn.IFERROR(__xludf.DUMMYFUNCTION("""COMPUTED_VALUE"""),1957)</f>
        <v>1957</v>
      </c>
      <c r="H83" s="132" t="str">
        <f>_xlfn.IFERROR(__xludf.DUMMYFUNCTION("""COMPUTED_VALUE"""),"Sokol Ľubotice")</f>
        <v>Sokol Ľubotice</v>
      </c>
      <c r="I83" s="124" t="str">
        <f t="shared" si="3"/>
        <v>D</v>
      </c>
      <c r="J83" s="125">
        <f>COUNTIF(I$5:I83,I83)</f>
        <v>3</v>
      </c>
      <c r="K83" s="126">
        <v>0.026608796296296297</v>
      </c>
    </row>
    <row r="84" spans="1:11" ht="15" customHeight="1" hidden="1">
      <c r="A84" s="10">
        <v>55</v>
      </c>
      <c r="B84" s="13">
        <v>66</v>
      </c>
      <c r="C84" s="46" t="str">
        <f>_xlfn.IFERROR(__xludf.DUMMYFUNCTION("""COMPUTED_VALUE"""),"KAČALA")</f>
        <v>KAČALA</v>
      </c>
      <c r="D84" s="41" t="str">
        <f>_xlfn.IFERROR(__xludf.DUMMYFUNCTION("""COMPUTED_VALUE"""),"Pavol")</f>
        <v>Pavol</v>
      </c>
      <c r="E84" s="7" t="s">
        <v>11</v>
      </c>
      <c r="F84" s="31" t="s">
        <v>3</v>
      </c>
      <c r="G84" s="26">
        <f>_xlfn.IFERROR(__xludf.DUMMYFUNCTION("""COMPUTED_VALUE"""),1956)</f>
        <v>1956</v>
      </c>
      <c r="H84" s="37" t="str">
        <f>_xlfn.IFERROR(__xludf.DUMMYFUNCTION("""COMPUTED_VALUE"""),"OBS Prešov")</f>
        <v>OBS Prešov</v>
      </c>
      <c r="I84" s="14" t="str">
        <f t="shared" si="3"/>
        <v>D</v>
      </c>
      <c r="J84" s="12">
        <f>COUNTIF(I$5:I84,I84)</f>
        <v>4</v>
      </c>
      <c r="K84" s="50">
        <v>0.028946759259259255</v>
      </c>
    </row>
    <row r="85" spans="1:11" ht="15" customHeight="1" hidden="1">
      <c r="A85" s="5">
        <v>58</v>
      </c>
      <c r="B85" s="13">
        <v>55</v>
      </c>
      <c r="C85" s="45" t="str">
        <f>_xlfn.IFERROR(__xludf.DUMMYFUNCTION("""COMPUTED_VALUE"""),"MIHALIK")</f>
        <v>MIHALIK</v>
      </c>
      <c r="D85" s="40" t="str">
        <f>_xlfn.IFERROR(__xludf.DUMMYFUNCTION("""COMPUTED_VALUE"""),"Štefan")</f>
        <v>Štefan</v>
      </c>
      <c r="E85" s="7" t="s">
        <v>11</v>
      </c>
      <c r="F85" s="32" t="s">
        <v>3</v>
      </c>
      <c r="G85" s="27">
        <f>_xlfn.IFERROR(__xludf.DUMMYFUNCTION("""COMPUTED_VALUE"""),1954)</f>
        <v>1954</v>
      </c>
      <c r="H85" s="38" t="str">
        <f>_xlfn.IFERROR(__xludf.DUMMYFUNCTION("""COMPUTED_VALUE"""),"MARAS team")</f>
        <v>MARAS team</v>
      </c>
      <c r="I85" s="14" t="str">
        <f t="shared" si="3"/>
        <v>D</v>
      </c>
      <c r="J85" s="12">
        <f>COUNTIF(I$5:I85,I85)</f>
        <v>5</v>
      </c>
      <c r="K85" s="50">
        <v>0.029212962962962965</v>
      </c>
    </row>
    <row r="86" spans="1:11" ht="15" customHeight="1" hidden="1">
      <c r="A86" s="10">
        <v>62</v>
      </c>
      <c r="B86" s="13">
        <v>31</v>
      </c>
      <c r="C86" s="46" t="str">
        <f>_xlfn.IFERROR(__xludf.DUMMYFUNCTION("""COMPUTED_VALUE"""),"KAKAŠČÍK")</f>
        <v>KAKAŠČÍK</v>
      </c>
      <c r="D86" s="41" t="str">
        <f>_xlfn.IFERROR(__xludf.DUMMYFUNCTION("""COMPUTED_VALUE"""),"Jozef")</f>
        <v>Jozef</v>
      </c>
      <c r="E86" s="7" t="s">
        <v>11</v>
      </c>
      <c r="F86" s="31" t="s">
        <v>3</v>
      </c>
      <c r="G86" s="26">
        <f>_xlfn.IFERROR(__xludf.DUMMYFUNCTION("""COMPUTED_VALUE"""),1959)</f>
        <v>1959</v>
      </c>
      <c r="H86" s="37" t="str">
        <f>_xlfn.IFERROR(__xludf.DUMMYFUNCTION("""COMPUTED_VALUE"""),"NW-Záborské")</f>
        <v>NW-Záborské</v>
      </c>
      <c r="I86" s="14" t="str">
        <f t="shared" si="3"/>
        <v>D</v>
      </c>
      <c r="J86" s="12">
        <f>COUNTIF(I$5:I86,I86)</f>
        <v>6</v>
      </c>
      <c r="K86" s="50">
        <v>0.029490740740740744</v>
      </c>
    </row>
    <row r="87" spans="1:11" ht="15" customHeight="1" hidden="1">
      <c r="A87" s="5">
        <v>74</v>
      </c>
      <c r="B87" s="13">
        <v>3</v>
      </c>
      <c r="C87" s="44" t="s">
        <v>32</v>
      </c>
      <c r="D87" s="42" t="s">
        <v>30</v>
      </c>
      <c r="E87" s="7" t="s">
        <v>11</v>
      </c>
      <c r="F87" s="13" t="s">
        <v>3</v>
      </c>
      <c r="G87" s="28">
        <v>1956</v>
      </c>
      <c r="H87" s="39" t="s">
        <v>31</v>
      </c>
      <c r="I87" s="14" t="str">
        <f t="shared" si="3"/>
        <v>D</v>
      </c>
      <c r="J87" s="12">
        <f>COUNTIF(I$5:I87,I87)</f>
        <v>7</v>
      </c>
      <c r="K87" s="50">
        <v>0.03099537037037037</v>
      </c>
    </row>
    <row r="88" spans="1:11" ht="15" customHeight="1" hidden="1">
      <c r="A88" s="10">
        <v>88</v>
      </c>
      <c r="B88" s="13">
        <v>27</v>
      </c>
      <c r="C88" s="45" t="str">
        <f>_xlfn.IFERROR(__xludf.DUMMYFUNCTION("""COMPUTED_VALUE"""),"KAČALA")</f>
        <v>KAČALA</v>
      </c>
      <c r="D88" s="40" t="str">
        <f>_xlfn.IFERROR(__xludf.DUMMYFUNCTION("""COMPUTED_VALUE"""),"Ján")</f>
        <v>Ján</v>
      </c>
      <c r="E88" s="7" t="s">
        <v>11</v>
      </c>
      <c r="F88" s="32" t="s">
        <v>3</v>
      </c>
      <c r="G88" s="27">
        <f>_xlfn.IFERROR(__xludf.DUMMYFUNCTION("""COMPUTED_VALUE"""),1958)</f>
        <v>1958</v>
      </c>
      <c r="H88" s="38" t="str">
        <f>_xlfn.IFERROR(__xludf.DUMMYFUNCTION("""COMPUTED_VALUE"""),"Prešov")</f>
        <v>Prešov</v>
      </c>
      <c r="I88" s="14" t="str">
        <f t="shared" si="3"/>
        <v>D</v>
      </c>
      <c r="J88" s="12">
        <f>COUNTIF(I$5:I88,I88)</f>
        <v>8</v>
      </c>
      <c r="K88" s="50">
        <v>0.03215277777777777</v>
      </c>
    </row>
    <row r="89" spans="1:11" ht="15" customHeight="1" hidden="1">
      <c r="A89" s="5">
        <v>92</v>
      </c>
      <c r="B89" s="13">
        <v>19</v>
      </c>
      <c r="C89" s="45" t="str">
        <f>_xlfn.IFERROR(__xludf.DUMMYFUNCTION("""COMPUTED_VALUE"""),"BEDNÁR")</f>
        <v>BEDNÁR</v>
      </c>
      <c r="D89" s="40" t="str">
        <f>_xlfn.IFERROR(__xludf.DUMMYFUNCTION("""COMPUTED_VALUE"""),"František")</f>
        <v>František</v>
      </c>
      <c r="E89" s="7" t="s">
        <v>11</v>
      </c>
      <c r="F89" s="32" t="s">
        <v>3</v>
      </c>
      <c r="G89" s="27">
        <f>_xlfn.IFERROR(__xludf.DUMMYFUNCTION("""COMPUTED_VALUE"""),1958)</f>
        <v>1958</v>
      </c>
      <c r="H89" s="38" t="str">
        <f>_xlfn.IFERROR(__xludf.DUMMYFUNCTION("""COMPUTED_VALUE"""),"ZVL Prešov")</f>
        <v>ZVL Prešov</v>
      </c>
      <c r="I89" s="14" t="str">
        <f t="shared" si="3"/>
        <v>D</v>
      </c>
      <c r="J89" s="12">
        <f>COUNTIF(I$5:I89,I89)</f>
        <v>9</v>
      </c>
      <c r="K89" s="50">
        <v>0.03263888888888889</v>
      </c>
    </row>
    <row r="90" spans="1:11" ht="15" customHeight="1" hidden="1">
      <c r="A90" s="10">
        <v>132</v>
      </c>
      <c r="B90" s="13">
        <v>89</v>
      </c>
      <c r="C90" s="44" t="s">
        <v>21</v>
      </c>
      <c r="D90" s="42" t="s">
        <v>88</v>
      </c>
      <c r="E90" s="7" t="s">
        <v>11</v>
      </c>
      <c r="F90" s="13" t="s">
        <v>3</v>
      </c>
      <c r="G90" s="28">
        <v>1955</v>
      </c>
      <c r="H90" s="39" t="s">
        <v>36</v>
      </c>
      <c r="I90" s="14" t="str">
        <f t="shared" si="3"/>
        <v>D</v>
      </c>
      <c r="J90" s="12">
        <f>COUNTIF(I$5:I90,I90)</f>
        <v>10</v>
      </c>
      <c r="K90" s="50"/>
    </row>
    <row r="91" spans="1:11" ht="15" customHeight="1" hidden="1">
      <c r="A91" s="5">
        <v>138</v>
      </c>
      <c r="B91" s="13">
        <v>135</v>
      </c>
      <c r="C91" s="45" t="str">
        <f>_xlfn.IFERROR(__xludf.DUMMYFUNCTION("""COMPUTED_VALUE"""),"KUCHÁR")</f>
        <v>KUCHÁR</v>
      </c>
      <c r="D91" s="40" t="str">
        <f>_xlfn.IFERROR(__xludf.DUMMYFUNCTION("""COMPUTED_VALUE"""),"Emil")</f>
        <v>Emil</v>
      </c>
      <c r="E91" s="7" t="s">
        <v>11</v>
      </c>
      <c r="F91" s="32" t="s">
        <v>3</v>
      </c>
      <c r="G91" s="27">
        <f>_xlfn.IFERROR(__xludf.DUMMYFUNCTION("""COMPUTED_VALUE"""),1951)</f>
        <v>1951</v>
      </c>
      <c r="H91" s="38" t="str">
        <f>_xlfn.IFERROR(__xludf.DUMMYFUNCTION("""COMPUTED_VALUE"""),"Active life ")</f>
        <v>Active life </v>
      </c>
      <c r="I91" s="14" t="str">
        <f t="shared" si="3"/>
        <v>D</v>
      </c>
      <c r="J91" s="12">
        <f>COUNTIF(I$5:I91,I91)</f>
        <v>11</v>
      </c>
      <c r="K91" s="50"/>
    </row>
    <row r="92" spans="1:11" ht="15" customHeight="1" thickBot="1">
      <c r="A92" s="187" t="s">
        <v>115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9"/>
    </row>
    <row r="93" spans="1:11" s="74" customFormat="1" ht="15" customHeight="1">
      <c r="A93" s="65">
        <v>1</v>
      </c>
      <c r="B93" s="75">
        <v>126</v>
      </c>
      <c r="C93" s="83" t="str">
        <f>_xlfn.IFERROR(__xludf.DUMMYFUNCTION("""COMPUTED_VALUE"""),"PAPP")</f>
        <v>PAPP</v>
      </c>
      <c r="D93" s="84" t="str">
        <f>_xlfn.IFERROR(__xludf.DUMMYFUNCTION("""COMPUTED_VALUE"""),"Zoltán")</f>
        <v>Zoltán</v>
      </c>
      <c r="E93" s="78" t="s">
        <v>11</v>
      </c>
      <c r="F93" s="85" t="s">
        <v>3</v>
      </c>
      <c r="G93" s="86">
        <f>_xlfn.IFERROR(__xludf.DUMMYFUNCTION("""COMPUTED_VALUE"""),1949)</f>
        <v>1949</v>
      </c>
      <c r="H93" s="87" t="str">
        <f>_xlfn.IFERROR(__xludf.DUMMYFUNCTION("""COMPUTED_VALUE"""),"MBK Veľké Kapušany")</f>
        <v>MBK Veľké Kapušany</v>
      </c>
      <c r="I93" s="72" t="str">
        <f>IF(F93="m",IF($G$1-$G93&lt;=17,"JM",IF($G$1-$G93&lt;=39,"A",IF($G$1-$G93&lt;=49,"B",IF($G$1-$G93&lt;=59,"C",IF($G$1-$G93&lt;=69,"D","E"))))),IF($G$1-$G93&lt;=17,"JŽ",IF($G$1-$G93&lt;=39,"F",IF($G$1-$G93&lt;=49,"G",IF($G$1-$G93&lt;=59,"H","I")))))</f>
        <v>E</v>
      </c>
      <c r="J93" s="81">
        <f>COUNTIF(I$5:I93,I93)</f>
        <v>1</v>
      </c>
      <c r="K93" s="73">
        <v>0.029930555555555557</v>
      </c>
    </row>
    <row r="94" spans="1:11" s="104" customFormat="1" ht="15" customHeight="1">
      <c r="A94" s="94">
        <v>2</v>
      </c>
      <c r="B94" s="95">
        <v>93</v>
      </c>
      <c r="C94" s="111" t="str">
        <f>_xlfn.IFERROR(__xludf.DUMMYFUNCTION("""COMPUTED_VALUE"""),"STANEK")</f>
        <v>STANEK</v>
      </c>
      <c r="D94" s="112" t="str">
        <f>_xlfn.IFERROR(__xludf.DUMMYFUNCTION("""COMPUTED_VALUE"""),"František")</f>
        <v>František</v>
      </c>
      <c r="E94" s="98" t="s">
        <v>11</v>
      </c>
      <c r="F94" s="113" t="s">
        <v>3</v>
      </c>
      <c r="G94" s="114">
        <f>_xlfn.IFERROR(__xludf.DUMMYFUNCTION("""COMPUTED_VALUE"""),1945)</f>
        <v>1945</v>
      </c>
      <c r="H94" s="115" t="str">
        <f>_xlfn.IFERROR(__xludf.DUMMYFUNCTION("""COMPUTED_VALUE"""),"MTC Vyšná Šebasová")</f>
        <v>MTC Vyšná Šebasová</v>
      </c>
      <c r="I94" s="101" t="str">
        <f>IF(F94="m",IF($G$1-$G94&lt;=17,"JM",IF($G$1-$G94&lt;=39,"A",IF($G$1-$G94&lt;=49,"B",IF($G$1-$G94&lt;=59,"C",IF($G$1-$G94&lt;=69,"D","E"))))),IF($G$1-$G94&lt;=17,"JŽ",IF($G$1-$G94&lt;=39,"F",IF($G$1-$G94&lt;=49,"G",IF($G$1-$G94&lt;=59,"H","I")))))</f>
        <v>E</v>
      </c>
      <c r="J94" s="102">
        <f>COUNTIF(I$5:I94,I94)</f>
        <v>2</v>
      </c>
      <c r="K94" s="103">
        <v>0.03309027777777778</v>
      </c>
    </row>
    <row r="95" spans="1:11" s="127" customFormat="1" ht="15" customHeight="1" thickBot="1">
      <c r="A95" s="116">
        <v>3</v>
      </c>
      <c r="B95" s="117">
        <v>45</v>
      </c>
      <c r="C95" s="128" t="str">
        <f>_xlfn.IFERROR(__xludf.DUMMYFUNCTION("""COMPUTED_VALUE"""),"SEMAN")</f>
        <v>SEMAN</v>
      </c>
      <c r="D95" s="129" t="str">
        <f>_xlfn.IFERROR(__xludf.DUMMYFUNCTION("""COMPUTED_VALUE"""),"Tomáš")</f>
        <v>Tomáš</v>
      </c>
      <c r="E95" s="120" t="s">
        <v>11</v>
      </c>
      <c r="F95" s="130" t="s">
        <v>3</v>
      </c>
      <c r="G95" s="131">
        <f>_xlfn.IFERROR(__xludf.DUMMYFUNCTION("""COMPUTED_VALUE"""),1948)</f>
        <v>1948</v>
      </c>
      <c r="H95" s="132" t="str">
        <f>_xlfn.IFERROR(__xludf.DUMMYFUNCTION("""COMPUTED_VALUE"""),"Vrtuľníkove krídlo Prešov")</f>
        <v>Vrtuľníkove krídlo Prešov</v>
      </c>
      <c r="I95" s="124" t="str">
        <f>IF(F95="m",IF($G$1-$G95&lt;=17,"JM",IF($G$1-$G95&lt;=39,"A",IF($G$1-$G95&lt;=49,"B",IF($G$1-$G95&lt;=59,"C",IF($G$1-$G95&lt;=69,"D","E"))))),IF($G$1-$G95&lt;=17,"JŽ",IF($G$1-$G95&lt;=39,"F",IF($G$1-$G95&lt;=49,"G",IF($G$1-$G95&lt;=59,"H","I")))))</f>
        <v>E</v>
      </c>
      <c r="J95" s="125">
        <f>COUNTIF(I$5:I95,I95)</f>
        <v>3</v>
      </c>
      <c r="K95" s="126">
        <v>0.03584490740740741</v>
      </c>
    </row>
    <row r="96" spans="1:11" ht="15" customHeight="1" hidden="1">
      <c r="A96" s="5">
        <v>117</v>
      </c>
      <c r="B96" s="13">
        <v>17</v>
      </c>
      <c r="C96" s="44" t="s">
        <v>42</v>
      </c>
      <c r="D96" s="42" t="s">
        <v>22</v>
      </c>
      <c r="E96" s="7" t="s">
        <v>11</v>
      </c>
      <c r="F96" s="13" t="s">
        <v>3</v>
      </c>
      <c r="G96" s="28">
        <v>1950</v>
      </c>
      <c r="H96" s="39" t="s">
        <v>43</v>
      </c>
      <c r="I96" s="14" t="str">
        <f>IF(F96="m",IF($G$1-$G96&lt;=17,"JM",IF($G$1-$G96&lt;=39,"A",IF($G$1-$G96&lt;=49,"B",IF($G$1-$G96&lt;=59,"C",IF($G$1-$G96&lt;=69,"D","E"))))),IF($G$1-$G96&lt;=17,"JŽ",IF($G$1-$G96&lt;=39,"F",IF($G$1-$G96&lt;=49,"G",IF($G$1-$G96&lt;=59,"H","I")))))</f>
        <v>E</v>
      </c>
      <c r="J96" s="12">
        <f>COUNTIF(I$5:I96,I96)</f>
        <v>4</v>
      </c>
      <c r="K96" s="50">
        <v>0.03730324074074074</v>
      </c>
    </row>
    <row r="97" spans="1:11" ht="15" customHeight="1" hidden="1">
      <c r="A97" s="10">
        <v>125</v>
      </c>
      <c r="B97" s="13">
        <v>34</v>
      </c>
      <c r="C97" s="45" t="str">
        <f>_xlfn.IFERROR(__xludf.DUMMYFUNCTION("""COMPUTED_VALUE"""),"KASSAY")</f>
        <v>KASSAY</v>
      </c>
      <c r="D97" s="40" t="str">
        <f>_xlfn.IFERROR(__xludf.DUMMYFUNCTION("""COMPUTED_VALUE"""),"Vojtech")</f>
        <v>Vojtech</v>
      </c>
      <c r="E97" s="7" t="s">
        <v>11</v>
      </c>
      <c r="F97" s="32" t="s">
        <v>3</v>
      </c>
      <c r="G97" s="27">
        <f>_xlfn.IFERROR(__xludf.DUMMYFUNCTION("""COMPUTED_VALUE"""),1946)</f>
        <v>1946</v>
      </c>
      <c r="H97" s="38" t="str">
        <f>_xlfn.IFERROR(__xludf.DUMMYFUNCTION("""COMPUTED_VALUE"""),"MARAS team")</f>
        <v>MARAS team</v>
      </c>
      <c r="I97" s="14" t="str">
        <f>IF(F97="m",IF($G$1-$G97&lt;=17,"JM",IF($G$1-$G97&lt;=39,"A",IF($G$1-$G97&lt;=49,"B",IF($G$1-$G97&lt;=59,"C",IF($G$1-$G97&lt;=69,"D","E"))))),IF($G$1-$G97&lt;=17,"JŽ",IF($G$1-$G97&lt;=39,"F",IF($G$1-$G97&lt;=49,"G",IF($G$1-$G97&lt;=59,"H","I")))))</f>
        <v>E</v>
      </c>
      <c r="J97" s="12">
        <f>COUNTIF(I$5:I97,I97)</f>
        <v>5</v>
      </c>
      <c r="K97" s="50"/>
    </row>
    <row r="98" spans="1:11" ht="15" customHeight="1" thickBot="1">
      <c r="A98" s="187" t="s">
        <v>116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9"/>
    </row>
    <row r="99" spans="1:11" s="74" customFormat="1" ht="15" customHeight="1">
      <c r="A99" s="82">
        <v>1</v>
      </c>
      <c r="B99" s="75">
        <v>29</v>
      </c>
      <c r="C99" s="88" t="str">
        <f>_xlfn.IFERROR(__xludf.DUMMYFUNCTION("""COMPUTED_VALUE"""),"ČONKOVÁ")</f>
        <v>ČONKOVÁ</v>
      </c>
      <c r="D99" s="84" t="str">
        <f>_xlfn.IFERROR(__xludf.DUMMYFUNCTION("""COMPUTED_VALUE"""),"Simona")</f>
        <v>Simona</v>
      </c>
      <c r="E99" s="78" t="s">
        <v>11</v>
      </c>
      <c r="F99" s="85" t="s">
        <v>23</v>
      </c>
      <c r="G99" s="86" t="s">
        <v>29</v>
      </c>
      <c r="H99" s="87" t="str">
        <f>_xlfn.IFERROR(__xludf.DUMMYFUNCTION("""COMPUTED_VALUE"""),"MARAS team")</f>
        <v>MARAS team</v>
      </c>
      <c r="I99" s="72" t="str">
        <f aca="true" t="shared" si="4" ref="I99:I119">IF(F99="m",IF($G$1-$G99&lt;=17,"JM",IF($G$1-$G99&lt;=39,"A",IF($G$1-$G99&lt;=49,"B",IF($G$1-$G99&lt;=59,"C",IF($G$1-$G99&lt;=69,"D","E"))))),IF($G$1-$G99&lt;=17,"JŽ",IF($G$1-$G99&lt;=39,"F",IF($G$1-$G99&lt;=49,"G",IF($G$1-$G99&lt;=59,"H","I")))))</f>
        <v>F</v>
      </c>
      <c r="J99" s="81">
        <f>COUNTIF(I$5:I99,I99)</f>
        <v>1</v>
      </c>
      <c r="K99" s="73">
        <v>0.025474537037037035</v>
      </c>
    </row>
    <row r="100" spans="1:11" s="104" customFormat="1" ht="15" customHeight="1">
      <c r="A100" s="110">
        <v>2</v>
      </c>
      <c r="B100" s="95">
        <v>71</v>
      </c>
      <c r="C100" s="105" t="str">
        <f>_xlfn.IFERROR(__xludf.DUMMYFUNCTION("""COMPUTED_VALUE"""),"POLAŠČÍKOVÁ")</f>
        <v>POLAŠČÍKOVÁ</v>
      </c>
      <c r="D100" s="106" t="str">
        <f>_xlfn.IFERROR(__xludf.DUMMYFUNCTION("""COMPUTED_VALUE"""),"Miroslava")</f>
        <v>Miroslava</v>
      </c>
      <c r="E100" s="98" t="s">
        <v>11</v>
      </c>
      <c r="F100" s="107" t="s">
        <v>23</v>
      </c>
      <c r="G100" s="108">
        <f>_xlfn.IFERROR(__xludf.DUMMYFUNCTION("""COMPUTED_VALUE"""),1988)</f>
        <v>1988</v>
      </c>
      <c r="H100" s="109" t="str">
        <f>_xlfn.IFERROR(__xludf.DUMMYFUNCTION("""COMPUTED_VALUE"""),"Klub bežcov Stropkov")</f>
        <v>Klub bežcov Stropkov</v>
      </c>
      <c r="I100" s="101" t="str">
        <f t="shared" si="4"/>
        <v>F</v>
      </c>
      <c r="J100" s="102">
        <f>COUNTIF(I$5:I100,I100)</f>
        <v>2</v>
      </c>
      <c r="K100" s="103">
        <v>0.025833333333333333</v>
      </c>
    </row>
    <row r="101" spans="1:11" s="127" customFormat="1" ht="15" customHeight="1" thickBot="1">
      <c r="A101" s="133">
        <v>3</v>
      </c>
      <c r="B101" s="117">
        <v>43</v>
      </c>
      <c r="C101" s="128" t="str">
        <f>_xlfn.IFERROR(__xludf.DUMMYFUNCTION("""COMPUTED_VALUE"""),"ŠAMULÁKOVÁ")</f>
        <v>ŠAMULÁKOVÁ</v>
      </c>
      <c r="D101" s="129" t="str">
        <f>_xlfn.IFERROR(__xludf.DUMMYFUNCTION("""COMPUTED_VALUE"""),"Petra")</f>
        <v>Petra</v>
      </c>
      <c r="E101" s="120" t="s">
        <v>11</v>
      </c>
      <c r="F101" s="130" t="s">
        <v>23</v>
      </c>
      <c r="G101" s="131">
        <f>_xlfn.IFERROR(__xludf.DUMMYFUNCTION("""COMPUTED_VALUE"""),1982)</f>
        <v>1982</v>
      </c>
      <c r="H101" s="132" t="str">
        <f>_xlfn.IFERROR(__xludf.DUMMYFUNCTION("""COMPUTED_VALUE"""),"Košice")</f>
        <v>Košice</v>
      </c>
      <c r="I101" s="124" t="str">
        <f t="shared" si="4"/>
        <v>F</v>
      </c>
      <c r="J101" s="125">
        <f>COUNTIF(I$5:I101,I101)</f>
        <v>3</v>
      </c>
      <c r="K101" s="126">
        <v>0.02695601851851852</v>
      </c>
    </row>
    <row r="102" spans="1:11" ht="15" customHeight="1" hidden="1">
      <c r="A102" s="10">
        <v>38</v>
      </c>
      <c r="B102" s="13">
        <v>12</v>
      </c>
      <c r="C102" s="46" t="str">
        <f>_xlfn.IFERROR(__xludf.DUMMYFUNCTION("""COMPUTED_VALUE"""),"ODELGOVÁ")</f>
        <v>ODELGOVÁ</v>
      </c>
      <c r="D102" s="41" t="str">
        <f>_xlfn.IFERROR(__xludf.DUMMYFUNCTION("""COMPUTED_VALUE"""),"Silvia")</f>
        <v>Silvia</v>
      </c>
      <c r="E102" s="7" t="s">
        <v>11</v>
      </c>
      <c r="F102" s="31" t="s">
        <v>23</v>
      </c>
      <c r="G102" s="26">
        <f>_xlfn.IFERROR(__xludf.DUMMYFUNCTION("""COMPUTED_VALUE"""),1982)</f>
        <v>1982</v>
      </c>
      <c r="H102" s="37" t="str">
        <f>_xlfn.IFERROR(__xludf.DUMMYFUNCTION("""COMPUTED_VALUE"""),"MARAS team")</f>
        <v>MARAS team</v>
      </c>
      <c r="I102" s="14" t="str">
        <f t="shared" si="4"/>
        <v>F</v>
      </c>
      <c r="J102" s="12">
        <f>COUNTIF(I$5:I102,I102)</f>
        <v>4</v>
      </c>
      <c r="K102" s="50">
        <v>0.027291666666666662</v>
      </c>
    </row>
    <row r="103" spans="1:11" ht="15" customHeight="1" hidden="1">
      <c r="A103" s="5">
        <v>43</v>
      </c>
      <c r="B103" s="13">
        <v>6</v>
      </c>
      <c r="C103" s="46" t="str">
        <f>_xlfn.IFERROR(__xludf.DUMMYFUNCTION("""COMPUTED_VALUE"""),"STAHOVEC")</f>
        <v>STAHOVEC</v>
      </c>
      <c r="D103" s="41" t="str">
        <f>_xlfn.IFERROR(__xludf.DUMMYFUNCTION("""COMPUTED_VALUE"""),"Dominika")</f>
        <v>Dominika</v>
      </c>
      <c r="E103" s="7" t="s">
        <v>11</v>
      </c>
      <c r="F103" s="31" t="s">
        <v>23</v>
      </c>
      <c r="G103" s="26">
        <f>_xlfn.IFERROR(__xludf.DUMMYFUNCTION("""COMPUTED_VALUE"""),1987)</f>
        <v>1987</v>
      </c>
      <c r="H103" s="37" t="str">
        <f>_xlfn.IFERROR(__xludf.DUMMYFUNCTION("""COMPUTED_VALUE"""),"MARAS team")</f>
        <v>MARAS team</v>
      </c>
      <c r="I103" s="14" t="str">
        <f t="shared" si="4"/>
        <v>F</v>
      </c>
      <c r="J103" s="12">
        <f>COUNTIF(I$5:I103,I103)</f>
        <v>5</v>
      </c>
      <c r="K103" s="50">
        <v>0.02763888888888889</v>
      </c>
    </row>
    <row r="104" spans="1:11" ht="15" customHeight="1" hidden="1">
      <c r="A104" s="10">
        <v>47</v>
      </c>
      <c r="B104" s="13">
        <v>90</v>
      </c>
      <c r="C104" s="44" t="s">
        <v>90</v>
      </c>
      <c r="D104" s="42" t="s">
        <v>89</v>
      </c>
      <c r="E104" s="7" t="s">
        <v>11</v>
      </c>
      <c r="F104" s="13" t="s">
        <v>23</v>
      </c>
      <c r="G104" s="28">
        <v>1984</v>
      </c>
      <c r="H104" s="39" t="s">
        <v>26</v>
      </c>
      <c r="I104" s="14" t="str">
        <f t="shared" si="4"/>
        <v>F</v>
      </c>
      <c r="J104" s="12">
        <f>COUNTIF(I$5:I104,I104)</f>
        <v>6</v>
      </c>
      <c r="K104" s="50">
        <v>0.02809027777777778</v>
      </c>
    </row>
    <row r="105" spans="1:11" ht="15" customHeight="1" hidden="1">
      <c r="A105" s="5">
        <v>48</v>
      </c>
      <c r="B105" s="13">
        <v>42</v>
      </c>
      <c r="C105" s="46" t="str">
        <f>_xlfn.IFERROR(__xludf.DUMMYFUNCTION("""COMPUTED_VALUE"""),"KMECOVÁ")</f>
        <v>KMECOVÁ</v>
      </c>
      <c r="D105" s="41" t="str">
        <f>_xlfn.IFERROR(__xludf.DUMMYFUNCTION("""COMPUTED_VALUE"""),"Daniela")</f>
        <v>Daniela</v>
      </c>
      <c r="E105" s="7" t="s">
        <v>11</v>
      </c>
      <c r="F105" s="31" t="s">
        <v>23</v>
      </c>
      <c r="G105" s="26">
        <f>_xlfn.IFERROR(__xludf.DUMMYFUNCTION("""COMPUTED_VALUE"""),1990)</f>
        <v>1990</v>
      </c>
      <c r="H105" s="37" t="str">
        <f>_xlfn.IFERROR(__xludf.DUMMYFUNCTION("""COMPUTED_VALUE"""),"Maras team")</f>
        <v>Maras team</v>
      </c>
      <c r="I105" s="14" t="str">
        <f t="shared" si="4"/>
        <v>F</v>
      </c>
      <c r="J105" s="12">
        <f>COUNTIF(I$5:I105,I105)</f>
        <v>7</v>
      </c>
      <c r="K105" s="50">
        <v>0.028182870370370372</v>
      </c>
    </row>
    <row r="106" spans="1:11" ht="15" customHeight="1" hidden="1">
      <c r="A106" s="10">
        <v>54</v>
      </c>
      <c r="B106" s="13">
        <v>64</v>
      </c>
      <c r="C106" s="46" t="str">
        <f>_xlfn.IFERROR(__xludf.DUMMYFUNCTION("""COMPUTED_VALUE"""),"SAJDAKOVÁ")</f>
        <v>SAJDAKOVÁ</v>
      </c>
      <c r="D106" s="41" t="str">
        <f>_xlfn.IFERROR(__xludf.DUMMYFUNCTION("""COMPUTED_VALUE"""),"Zuzana")</f>
        <v>Zuzana</v>
      </c>
      <c r="E106" s="7" t="s">
        <v>11</v>
      </c>
      <c r="F106" s="31" t="s">
        <v>23</v>
      </c>
      <c r="G106" s="26">
        <f>_xlfn.IFERROR(__xludf.DUMMYFUNCTION("""COMPUTED_VALUE"""),1988)</f>
        <v>1988</v>
      </c>
      <c r="H106" s="37" t="str">
        <f>_xlfn.IFERROR(__xludf.DUMMYFUNCTION("""COMPUTED_VALUE"""),"SOKOL LUBOTICE")</f>
        <v>SOKOL LUBOTICE</v>
      </c>
      <c r="I106" s="14" t="str">
        <f t="shared" si="4"/>
        <v>F</v>
      </c>
      <c r="J106" s="12">
        <f>COUNTIF(I$5:I106,I106)</f>
        <v>8</v>
      </c>
      <c r="K106" s="50">
        <v>0.028738425925925928</v>
      </c>
    </row>
    <row r="107" spans="1:11" ht="15" customHeight="1" hidden="1">
      <c r="A107" s="5">
        <v>80</v>
      </c>
      <c r="B107" s="13">
        <v>54</v>
      </c>
      <c r="C107" s="45" t="str">
        <f>_xlfn.IFERROR(__xludf.DUMMYFUNCTION("""COMPUTED_VALUE"""),"MIHALIKOVÁ")</f>
        <v>MIHALIKOVÁ</v>
      </c>
      <c r="D107" s="40" t="str">
        <f>_xlfn.IFERROR(__xludf.DUMMYFUNCTION("""COMPUTED_VALUE"""),"Veronika")</f>
        <v>Veronika</v>
      </c>
      <c r="E107" s="7" t="s">
        <v>11</v>
      </c>
      <c r="F107" s="32" t="s">
        <v>23</v>
      </c>
      <c r="G107" s="27">
        <f>_xlfn.IFERROR(__xludf.DUMMYFUNCTION("""COMPUTED_VALUE"""),2000)</f>
        <v>2000</v>
      </c>
      <c r="H107" s="38" t="str">
        <f>_xlfn.IFERROR(__xludf.DUMMYFUNCTION("""COMPUTED_VALUE"""),"OZ Športom k radosti")</f>
        <v>OZ Športom k radosti</v>
      </c>
      <c r="I107" s="14" t="str">
        <f t="shared" si="4"/>
        <v>F</v>
      </c>
      <c r="J107" s="12">
        <f>COUNTIF(I$5:I107,I107)</f>
        <v>9</v>
      </c>
      <c r="K107" s="50">
        <v>0.031608796296296295</v>
      </c>
    </row>
    <row r="108" spans="1:11" ht="15" customHeight="1" hidden="1">
      <c r="A108" s="10">
        <v>85</v>
      </c>
      <c r="B108" s="13">
        <v>25</v>
      </c>
      <c r="C108" s="44" t="s">
        <v>51</v>
      </c>
      <c r="D108" s="42" t="s">
        <v>52</v>
      </c>
      <c r="E108" s="7" t="s">
        <v>11</v>
      </c>
      <c r="F108" s="13" t="s">
        <v>23</v>
      </c>
      <c r="G108" s="28">
        <v>1986</v>
      </c>
      <c r="H108" s="39" t="s">
        <v>53</v>
      </c>
      <c r="I108" s="14" t="str">
        <f t="shared" si="4"/>
        <v>F</v>
      </c>
      <c r="J108" s="12">
        <f>COUNTIF(I$5:I108,I108)</f>
        <v>10</v>
      </c>
      <c r="K108" s="50">
        <v>0.0319212962962963</v>
      </c>
    </row>
    <row r="109" spans="1:11" ht="15" customHeight="1" hidden="1">
      <c r="A109" s="5">
        <v>87</v>
      </c>
      <c r="B109" s="13">
        <v>116</v>
      </c>
      <c r="C109" s="45" t="str">
        <f>_xlfn.IFERROR(__xludf.DUMMYFUNCTION("""COMPUTED_VALUE"""),"HRACHIAR")</f>
        <v>HRACHIAR</v>
      </c>
      <c r="D109" s="40" t="str">
        <f>_xlfn.IFERROR(__xludf.DUMMYFUNCTION("""COMPUTED_VALUE"""),"Martina")</f>
        <v>Martina</v>
      </c>
      <c r="E109" s="7" t="s">
        <v>11</v>
      </c>
      <c r="F109" s="32" t="s">
        <v>23</v>
      </c>
      <c r="G109" s="27">
        <f>_xlfn.IFERROR(__xludf.DUMMYFUNCTION("""COMPUTED_VALUE"""),1982)</f>
        <v>1982</v>
      </c>
      <c r="H109" s="38" t="str">
        <f>_xlfn.IFERROR(__xludf.DUMMYFUNCTION("""COMPUTED_VALUE"""),"Revúca")</f>
        <v>Revúca</v>
      </c>
      <c r="I109" s="14" t="str">
        <f t="shared" si="4"/>
        <v>F</v>
      </c>
      <c r="J109" s="12">
        <f>COUNTIF(I$5:I109,I109)</f>
        <v>11</v>
      </c>
      <c r="K109" s="50">
        <v>0.03204861111111111</v>
      </c>
    </row>
    <row r="110" spans="1:11" ht="15" customHeight="1" hidden="1">
      <c r="A110" s="10">
        <v>89</v>
      </c>
      <c r="B110" s="13">
        <v>109</v>
      </c>
      <c r="C110" s="46" t="str">
        <f>_xlfn.IFERROR(__xludf.DUMMYFUNCTION("""COMPUTED_VALUE"""),"ŠPIRENGOVÁ")</f>
        <v>ŠPIRENGOVÁ</v>
      </c>
      <c r="D110" s="41" t="str">
        <f>_xlfn.IFERROR(__xludf.DUMMYFUNCTION("""COMPUTED_VALUE"""),"Veronika")</f>
        <v>Veronika</v>
      </c>
      <c r="E110" s="7" t="s">
        <v>11</v>
      </c>
      <c r="F110" s="31" t="s">
        <v>23</v>
      </c>
      <c r="G110" s="26">
        <f>_xlfn.IFERROR(__xludf.DUMMYFUNCTION("""COMPUTED_VALUE"""),1981)</f>
        <v>1981</v>
      </c>
      <c r="H110" s="37" t="str">
        <f>_xlfn.IFERROR(__xludf.DUMMYFUNCTION("""COMPUTED_VALUE"""),"Hi G Run")</f>
        <v>Hi G Run</v>
      </c>
      <c r="I110" s="14" t="str">
        <f t="shared" si="4"/>
        <v>F</v>
      </c>
      <c r="J110" s="12">
        <f>COUNTIF(I$5:I110,I110)</f>
        <v>12</v>
      </c>
      <c r="K110" s="50">
        <v>0.032199074074074074</v>
      </c>
    </row>
    <row r="111" spans="1:11" ht="15" customHeight="1" hidden="1">
      <c r="A111" s="5">
        <v>98</v>
      </c>
      <c r="B111" s="13">
        <v>62</v>
      </c>
      <c r="C111" s="46" t="str">
        <f>_xlfn.IFERROR(__xludf.DUMMYFUNCTION("""COMPUTED_VALUE"""),"MITROVA")</f>
        <v>MITROVA</v>
      </c>
      <c r="D111" s="41" t="str">
        <f>_xlfn.IFERROR(__xludf.DUMMYFUNCTION("""COMPUTED_VALUE"""),"Iveta")</f>
        <v>Iveta</v>
      </c>
      <c r="E111" s="7" t="s">
        <v>11</v>
      </c>
      <c r="F111" s="31" t="s">
        <v>23</v>
      </c>
      <c r="G111" s="26">
        <f>_xlfn.IFERROR(__xludf.DUMMYFUNCTION("""COMPUTED_VALUE"""),1981)</f>
        <v>1981</v>
      </c>
      <c r="H111" s="37" t="str">
        <f>_xlfn.IFERROR(__xludf.DUMMYFUNCTION("""COMPUTED_VALUE"""),"Košice")</f>
        <v>Košice</v>
      </c>
      <c r="I111" s="14" t="str">
        <f t="shared" si="4"/>
        <v>F</v>
      </c>
      <c r="J111" s="12">
        <f>COUNTIF(I$5:I111,I111)</f>
        <v>13</v>
      </c>
      <c r="K111" s="50">
        <v>0.03366898148148148</v>
      </c>
    </row>
    <row r="112" spans="1:11" ht="15" customHeight="1" hidden="1">
      <c r="A112" s="10">
        <v>101</v>
      </c>
      <c r="B112" s="13">
        <v>49</v>
      </c>
      <c r="C112" s="44" t="s">
        <v>60</v>
      </c>
      <c r="D112" s="42" t="s">
        <v>61</v>
      </c>
      <c r="E112" s="7" t="s">
        <v>11</v>
      </c>
      <c r="F112" s="13" t="s">
        <v>23</v>
      </c>
      <c r="G112" s="28">
        <v>1985</v>
      </c>
      <c r="H112" s="39" t="s">
        <v>26</v>
      </c>
      <c r="I112" s="14" t="str">
        <f t="shared" si="4"/>
        <v>F</v>
      </c>
      <c r="J112" s="12">
        <f>COUNTIF(I$5:I112,I112)</f>
        <v>14</v>
      </c>
      <c r="K112" s="50">
        <v>0.03417824074074074</v>
      </c>
    </row>
    <row r="113" spans="1:11" ht="15" customHeight="1" hidden="1">
      <c r="A113" s="5">
        <v>102</v>
      </c>
      <c r="B113" s="13">
        <v>77</v>
      </c>
      <c r="C113" s="44" t="s">
        <v>80</v>
      </c>
      <c r="D113" s="42" t="s">
        <v>81</v>
      </c>
      <c r="E113" s="7" t="s">
        <v>11</v>
      </c>
      <c r="F113" s="13" t="s">
        <v>23</v>
      </c>
      <c r="G113" s="28">
        <v>1997</v>
      </c>
      <c r="H113" s="39" t="s">
        <v>82</v>
      </c>
      <c r="I113" s="14" t="str">
        <f t="shared" si="4"/>
        <v>F</v>
      </c>
      <c r="J113" s="12">
        <f>COUNTIF(I$5:I113,I113)</f>
        <v>15</v>
      </c>
      <c r="K113" s="50">
        <v>0.03451388888888889</v>
      </c>
    </row>
    <row r="114" spans="1:11" ht="15" customHeight="1" hidden="1">
      <c r="A114" s="10">
        <v>112</v>
      </c>
      <c r="B114" s="13">
        <v>78</v>
      </c>
      <c r="C114" s="46" t="str">
        <f>_xlfn.IFERROR(__xludf.DUMMYFUNCTION("""COMPUTED_VALUE"""),"SCHENK")</f>
        <v>SCHENK</v>
      </c>
      <c r="D114" s="41" t="str">
        <f>_xlfn.IFERROR(__xludf.DUMMYFUNCTION("""COMPUTED_VALUE"""),"Ľubomíra")</f>
        <v>Ľubomíra</v>
      </c>
      <c r="E114" s="7" t="s">
        <v>11</v>
      </c>
      <c r="F114" s="31" t="s">
        <v>23</v>
      </c>
      <c r="G114" s="26">
        <f>_xlfn.IFERROR(__xludf.DUMMYFUNCTION("""COMPUTED_VALUE"""),1981)</f>
        <v>1981</v>
      </c>
      <c r="H114" s="37" t="str">
        <f>_xlfn.IFERROR(__xludf.DUMMYFUNCTION("""COMPUTED_VALUE"""),"Prešov ")</f>
        <v>Prešov </v>
      </c>
      <c r="I114" s="14" t="str">
        <f t="shared" si="4"/>
        <v>F</v>
      </c>
      <c r="J114" s="12">
        <f>COUNTIF(I$5:I114,I114)</f>
        <v>16</v>
      </c>
      <c r="K114" s="50">
        <v>0.03648148148148148</v>
      </c>
    </row>
    <row r="115" spans="1:11" ht="15" customHeight="1" hidden="1">
      <c r="A115" s="5">
        <v>113</v>
      </c>
      <c r="B115" s="13">
        <v>50</v>
      </c>
      <c r="C115" s="45" t="str">
        <f>_xlfn.IFERROR(__xludf.DUMMYFUNCTION("""COMPUTED_VALUE"""),"SIVUĽKOVÁ")</f>
        <v>SIVUĽKOVÁ</v>
      </c>
      <c r="D115" s="40" t="s">
        <v>20</v>
      </c>
      <c r="E115" s="7" t="s">
        <v>11</v>
      </c>
      <c r="F115" s="32" t="s">
        <v>23</v>
      </c>
      <c r="G115" s="27">
        <f>_xlfn.IFERROR(__xludf.DUMMYFUNCTION("""COMPUTED_VALUE"""),1982)</f>
        <v>1982</v>
      </c>
      <c r="H115" s="38" t="str">
        <f>_xlfn.IFERROR(__xludf.DUMMYFUNCTION("""COMPUTED_VALUE"""),"Maras team")</f>
        <v>Maras team</v>
      </c>
      <c r="I115" s="14" t="str">
        <f t="shared" si="4"/>
        <v>F</v>
      </c>
      <c r="J115" s="12">
        <f>COUNTIF(I$5:I115,I115)</f>
        <v>17</v>
      </c>
      <c r="K115" s="50">
        <v>0.03684027777777778</v>
      </c>
    </row>
    <row r="116" spans="1:11" ht="15" customHeight="1" hidden="1">
      <c r="A116" s="10">
        <v>114</v>
      </c>
      <c r="B116" s="13">
        <v>100</v>
      </c>
      <c r="C116" s="45" t="str">
        <f>_xlfn.IFERROR(__xludf.DUMMYFUNCTION("""COMPUTED_VALUE"""),"JONEKOVÁ")</f>
        <v>JONEKOVÁ</v>
      </c>
      <c r="D116" s="40" t="str">
        <f>_xlfn.IFERROR(__xludf.DUMMYFUNCTION("""COMPUTED_VALUE"""),"Lenka")</f>
        <v>Lenka</v>
      </c>
      <c r="E116" s="7" t="s">
        <v>11</v>
      </c>
      <c r="F116" s="32" t="s">
        <v>23</v>
      </c>
      <c r="G116" s="27">
        <f>_xlfn.IFERROR(__xludf.DUMMYFUNCTION("""COMPUTED_VALUE"""),1985)</f>
        <v>1985</v>
      </c>
      <c r="H116" s="38" t="str">
        <f>_xlfn.IFERROR(__xludf.DUMMYFUNCTION("""COMPUTED_VALUE"""),"Run 4 Fun Kazimír ")</f>
        <v>Run 4 Fun Kazimír </v>
      </c>
      <c r="I116" s="14" t="str">
        <f t="shared" si="4"/>
        <v>F</v>
      </c>
      <c r="J116" s="12">
        <f>COUNTIF(I$5:I116,I116)</f>
        <v>18</v>
      </c>
      <c r="K116" s="50">
        <v>0.03685185185185185</v>
      </c>
    </row>
    <row r="117" spans="1:11" ht="15" customHeight="1" hidden="1">
      <c r="A117" s="5">
        <v>121</v>
      </c>
      <c r="B117" s="13">
        <v>26</v>
      </c>
      <c r="C117" s="46" t="str">
        <f>_xlfn.IFERROR(__xludf.DUMMYFUNCTION("""COMPUTED_VALUE"""),"REPKOVÁ")</f>
        <v>REPKOVÁ</v>
      </c>
      <c r="D117" s="41" t="str">
        <f>_xlfn.IFERROR(__xludf.DUMMYFUNCTION("""COMPUTED_VALUE"""),"Radka")</f>
        <v>Radka</v>
      </c>
      <c r="E117" s="7" t="s">
        <v>11</v>
      </c>
      <c r="F117" s="31" t="s">
        <v>23</v>
      </c>
      <c r="G117" s="26">
        <f>_xlfn.IFERROR(__xludf.DUMMYFUNCTION("""COMPUTED_VALUE"""),1990)</f>
        <v>1990</v>
      </c>
      <c r="H117" s="37" t="str">
        <f>_xlfn.IFERROR(__xludf.DUMMYFUNCTION("""COMPUTED_VALUE"""),"Prešov")</f>
        <v>Prešov</v>
      </c>
      <c r="I117" s="14" t="str">
        <f t="shared" si="4"/>
        <v>F</v>
      </c>
      <c r="J117" s="12">
        <f>COUNTIF(I$5:I117,I117)</f>
        <v>19</v>
      </c>
      <c r="K117" s="50">
        <v>0.03753472222222222</v>
      </c>
    </row>
    <row r="118" spans="1:11" ht="15" customHeight="1" hidden="1">
      <c r="A118" s="10">
        <v>126</v>
      </c>
      <c r="B118" s="13">
        <v>37</v>
      </c>
      <c r="C118" s="46" t="str">
        <f>_xlfn.IFERROR(__xludf.DUMMYFUNCTION("""COMPUTED_VALUE"""),"KASPAROVA")</f>
        <v>KASPAROVA</v>
      </c>
      <c r="D118" s="41" t="str">
        <f>_xlfn.IFERROR(__xludf.DUMMYFUNCTION("""COMPUTED_VALUE"""),"Katarina")</f>
        <v>Katarina</v>
      </c>
      <c r="E118" s="7" t="s">
        <v>11</v>
      </c>
      <c r="F118" s="31" t="s">
        <v>23</v>
      </c>
      <c r="G118" s="26">
        <f>_xlfn.IFERROR(__xludf.DUMMYFUNCTION("""COMPUTED_VALUE"""),1988)</f>
        <v>1988</v>
      </c>
      <c r="H118" s="37" t="str">
        <f>_xlfn.IFERROR(__xludf.DUMMYFUNCTION("""COMPUTED_VALUE"""),"Prešov")</f>
        <v>Prešov</v>
      </c>
      <c r="I118" s="14" t="str">
        <f t="shared" si="4"/>
        <v>F</v>
      </c>
      <c r="J118" s="12">
        <f>COUNTIF(I$5:I118,I118)</f>
        <v>20</v>
      </c>
      <c r="K118" s="50"/>
    </row>
    <row r="119" spans="1:11" ht="15" customHeight="1" hidden="1">
      <c r="A119" s="5">
        <v>128</v>
      </c>
      <c r="B119" s="13">
        <v>57</v>
      </c>
      <c r="C119" s="44" t="s">
        <v>67</v>
      </c>
      <c r="D119" s="42" t="s">
        <v>68</v>
      </c>
      <c r="E119" s="7" t="s">
        <v>11</v>
      </c>
      <c r="F119" s="13" t="s">
        <v>23</v>
      </c>
      <c r="G119" s="28">
        <v>1994</v>
      </c>
      <c r="H119" s="39" t="s">
        <v>26</v>
      </c>
      <c r="I119" s="14" t="str">
        <f t="shared" si="4"/>
        <v>F</v>
      </c>
      <c r="J119" s="12">
        <f>COUNTIF(I$5:I119,I119)</f>
        <v>21</v>
      </c>
      <c r="K119" s="50"/>
    </row>
    <row r="120" spans="1:11" ht="15" customHeight="1" thickBot="1">
      <c r="A120" s="187" t="s">
        <v>117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9"/>
    </row>
    <row r="121" spans="1:11" s="74" customFormat="1" ht="15" customHeight="1">
      <c r="A121" s="65">
        <v>1</v>
      </c>
      <c r="B121" s="75">
        <v>28</v>
      </c>
      <c r="C121" s="83" t="str">
        <f>_xlfn.IFERROR(__xludf.DUMMYFUNCTION("""COMPUTED_VALUE"""),"KARPJÁKOVÁ")</f>
        <v>KARPJÁKOVÁ</v>
      </c>
      <c r="D121" s="84" t="str">
        <f>_xlfn.IFERROR(__xludf.DUMMYFUNCTION("""COMPUTED_VALUE"""),"Diana")</f>
        <v>Diana</v>
      </c>
      <c r="E121" s="78" t="s">
        <v>11</v>
      </c>
      <c r="F121" s="85" t="s">
        <v>23</v>
      </c>
      <c r="G121" s="86">
        <f>_xlfn.IFERROR(__xludf.DUMMYFUNCTION("""COMPUTED_VALUE"""),1975)</f>
        <v>1975</v>
      </c>
      <c r="H121" s="87" t="str">
        <f>_xlfn.IFERROR(__xludf.DUMMYFUNCTION("""COMPUTED_VALUE"""),"MARAS team")</f>
        <v>MARAS team</v>
      </c>
      <c r="I121" s="72" t="str">
        <f aca="true" t="shared" si="5" ref="I121:I133">IF(F121="m",IF($G$1-$G121&lt;=17,"JM",IF($G$1-$G121&lt;=39,"A",IF($G$1-$G121&lt;=49,"B",IF($G$1-$G121&lt;=59,"C",IF($G$1-$G121&lt;=69,"D","E"))))),IF($G$1-$G121&lt;=17,"JŽ",IF($G$1-$G121&lt;=39,"F",IF($G$1-$G121&lt;=49,"G",IF($G$1-$G121&lt;=59,"H","I")))))</f>
        <v>G</v>
      </c>
      <c r="J121" s="81">
        <f>COUNTIF(I$5:I121,I121)</f>
        <v>1</v>
      </c>
      <c r="K121" s="73">
        <v>0.025995370370370367</v>
      </c>
    </row>
    <row r="122" spans="1:11" s="104" customFormat="1" ht="15" customHeight="1">
      <c r="A122" s="94">
        <v>2</v>
      </c>
      <c r="B122" s="95">
        <v>106</v>
      </c>
      <c r="C122" s="111" t="str">
        <f>_xlfn.IFERROR(__xludf.DUMMYFUNCTION("""COMPUTED_VALUE"""),"KOVALÍKOVÁ")</f>
        <v>KOVALÍKOVÁ</v>
      </c>
      <c r="D122" s="112" t="str">
        <f>_xlfn.IFERROR(__xludf.DUMMYFUNCTION("""COMPUTED_VALUE"""),"Martina")</f>
        <v>Martina</v>
      </c>
      <c r="E122" s="98" t="s">
        <v>11</v>
      </c>
      <c r="F122" s="113" t="s">
        <v>23</v>
      </c>
      <c r="G122" s="114">
        <f>_xlfn.IFERROR(__xludf.DUMMYFUNCTION("""COMPUTED_VALUE"""),1977)</f>
        <v>1977</v>
      </c>
      <c r="H122" s="115" t="str">
        <f>_xlfn.IFERROR(__xludf.DUMMYFUNCTION("""COMPUTED_VALUE"""),"Prešov")</f>
        <v>Prešov</v>
      </c>
      <c r="I122" s="101" t="str">
        <f t="shared" si="5"/>
        <v>G</v>
      </c>
      <c r="J122" s="102">
        <f>COUNTIF(I$5:I122,I122)</f>
        <v>2</v>
      </c>
      <c r="K122" s="103">
        <v>0.026863425925925926</v>
      </c>
    </row>
    <row r="123" spans="1:11" s="127" customFormat="1" ht="15" customHeight="1" thickBot="1">
      <c r="A123" s="116">
        <v>3</v>
      </c>
      <c r="B123" s="117">
        <v>74</v>
      </c>
      <c r="C123" s="134" t="s">
        <v>75</v>
      </c>
      <c r="D123" s="135" t="s">
        <v>76</v>
      </c>
      <c r="E123" s="120" t="s">
        <v>11</v>
      </c>
      <c r="F123" s="117" t="s">
        <v>23</v>
      </c>
      <c r="G123" s="136">
        <v>1979</v>
      </c>
      <c r="H123" s="137" t="s">
        <v>77</v>
      </c>
      <c r="I123" s="124" t="str">
        <f t="shared" si="5"/>
        <v>G</v>
      </c>
      <c r="J123" s="125">
        <f>COUNTIF(I$5:I123,I123)</f>
        <v>3</v>
      </c>
      <c r="K123" s="126">
        <v>0.027476851851851853</v>
      </c>
    </row>
    <row r="124" spans="1:11" ht="15" customHeight="1" hidden="1">
      <c r="A124" s="5">
        <v>91</v>
      </c>
      <c r="B124" s="13">
        <v>130</v>
      </c>
      <c r="C124" s="44" t="s">
        <v>98</v>
      </c>
      <c r="D124" s="42" t="s">
        <v>76</v>
      </c>
      <c r="E124" s="7" t="s">
        <v>11</v>
      </c>
      <c r="F124" s="13" t="s">
        <v>23</v>
      </c>
      <c r="G124" s="28">
        <v>1980</v>
      </c>
      <c r="H124" s="39" t="s">
        <v>26</v>
      </c>
      <c r="I124" s="14" t="str">
        <f t="shared" si="5"/>
        <v>G</v>
      </c>
      <c r="J124" s="12">
        <f>COUNTIF(I$5:I124,I124)</f>
        <v>4</v>
      </c>
      <c r="K124" s="50">
        <v>0.03236111111111111</v>
      </c>
    </row>
    <row r="125" spans="1:11" ht="15" customHeight="1" hidden="1">
      <c r="A125" s="10">
        <v>95</v>
      </c>
      <c r="B125" s="13">
        <v>8</v>
      </c>
      <c r="C125" s="46" t="str">
        <f>_xlfn.IFERROR(__xludf.DUMMYFUNCTION("""COMPUTED_VALUE"""),"KUROPČÁKOVÁ")</f>
        <v>KUROPČÁKOVÁ</v>
      </c>
      <c r="D125" s="41" t="str">
        <f>_xlfn.IFERROR(__xludf.DUMMYFUNCTION("""COMPUTED_VALUE"""),"Martina")</f>
        <v>Martina</v>
      </c>
      <c r="E125" s="7" t="s">
        <v>11</v>
      </c>
      <c r="F125" s="31" t="s">
        <v>23</v>
      </c>
      <c r="G125" s="26">
        <f>_xlfn.IFERROR(__xludf.DUMMYFUNCTION("""COMPUTED_VALUE"""),1976)</f>
        <v>1976</v>
      </c>
      <c r="H125" s="37" t="str">
        <f>_xlfn.IFERROR(__xludf.DUMMYFUNCTION("""COMPUTED_VALUE"""),"Prešov")</f>
        <v>Prešov</v>
      </c>
      <c r="I125" s="14" t="str">
        <f t="shared" si="5"/>
        <v>G</v>
      </c>
      <c r="J125" s="12">
        <f>COUNTIF(I$5:I125,I125)</f>
        <v>5</v>
      </c>
      <c r="K125" s="50">
        <v>0.033229166666666664</v>
      </c>
    </row>
    <row r="126" spans="1:11" ht="15" customHeight="1" hidden="1">
      <c r="A126" s="5">
        <v>96</v>
      </c>
      <c r="B126" s="13">
        <v>35</v>
      </c>
      <c r="C126" s="46" t="str">
        <f>_xlfn.IFERROR(__xludf.DUMMYFUNCTION("""COMPUTED_VALUE"""),"JANIČKOVÁ")</f>
        <v>JANIČKOVÁ</v>
      </c>
      <c r="D126" s="41" t="str">
        <f>_xlfn.IFERROR(__xludf.DUMMYFUNCTION("""COMPUTED_VALUE"""),"Miroslava")</f>
        <v>Miroslava</v>
      </c>
      <c r="E126" s="7" t="s">
        <v>11</v>
      </c>
      <c r="F126" s="31" t="s">
        <v>23</v>
      </c>
      <c r="G126" s="26">
        <f>_xlfn.IFERROR(__xludf.DUMMYFUNCTION("""COMPUTED_VALUE"""),1976)</f>
        <v>1976</v>
      </c>
      <c r="H126" s="37" t="str">
        <f>_xlfn.IFERROR(__xludf.DUMMYFUNCTION("""COMPUTED_VALUE"""),"Prešov")</f>
        <v>Prešov</v>
      </c>
      <c r="I126" s="14" t="str">
        <f t="shared" si="5"/>
        <v>G</v>
      </c>
      <c r="J126" s="12">
        <f>COUNTIF(I$5:I126,I126)</f>
        <v>6</v>
      </c>
      <c r="K126" s="50">
        <v>0.03328703703703704</v>
      </c>
    </row>
    <row r="127" spans="1:11" ht="15" customHeight="1" hidden="1">
      <c r="A127" s="10">
        <v>105</v>
      </c>
      <c r="B127" s="13">
        <v>60</v>
      </c>
      <c r="C127" s="45" t="str">
        <f>_xlfn.IFERROR(__xludf.DUMMYFUNCTION("""COMPUTED_VALUE"""),"DOVALOVÁ")</f>
        <v>DOVALOVÁ</v>
      </c>
      <c r="D127" s="40" t="str">
        <f>_xlfn.IFERROR(__xludf.DUMMYFUNCTION("""COMPUTED_VALUE"""),"Zuzana")</f>
        <v>Zuzana</v>
      </c>
      <c r="E127" s="7" t="s">
        <v>11</v>
      </c>
      <c r="F127" s="32" t="s">
        <v>23</v>
      </c>
      <c r="G127" s="27">
        <f>_xlfn.IFERROR(__xludf.DUMMYFUNCTION("""COMPUTED_VALUE"""),1973)</f>
        <v>1973</v>
      </c>
      <c r="H127" s="38" t="str">
        <f>_xlfn.IFERROR(__xludf.DUMMYFUNCTION("""COMPUTED_VALUE"""),"Lektvare Levoča")</f>
        <v>Lektvare Levoča</v>
      </c>
      <c r="I127" s="14" t="str">
        <f t="shared" si="5"/>
        <v>G</v>
      </c>
      <c r="J127" s="12">
        <f>COUNTIF(I$5:I127,I127)</f>
        <v>7</v>
      </c>
      <c r="K127" s="50">
        <v>0.03540509259259259</v>
      </c>
    </row>
    <row r="128" spans="1:11" ht="15" customHeight="1" hidden="1">
      <c r="A128" s="5">
        <v>106</v>
      </c>
      <c r="B128" s="13">
        <v>134</v>
      </c>
      <c r="C128" s="45" t="str">
        <f>_xlfn.IFERROR(__xludf.DUMMYFUNCTION("""COMPUTED_VALUE"""),"GYORIOVÁ")</f>
        <v>GYORIOVÁ</v>
      </c>
      <c r="D128" s="40" t="str">
        <f>_xlfn.IFERROR(__xludf.DUMMYFUNCTION("""COMPUTED_VALUE"""),"Monika")</f>
        <v>Monika</v>
      </c>
      <c r="E128" s="7" t="s">
        <v>11</v>
      </c>
      <c r="F128" s="32" t="s">
        <v>23</v>
      </c>
      <c r="G128" s="27">
        <f>_xlfn.IFERROR(__xludf.DUMMYFUNCTION("""COMPUTED_VALUE"""),1979)</f>
        <v>1979</v>
      </c>
      <c r="H128" s="38" t="str">
        <f>_xlfn.IFERROR(__xludf.DUMMYFUNCTION("""COMPUTED_VALUE"""),"Active life ")</f>
        <v>Active life </v>
      </c>
      <c r="I128" s="14" t="str">
        <f t="shared" si="5"/>
        <v>G</v>
      </c>
      <c r="J128" s="12">
        <f>COUNTIF(I$5:I128,I128)</f>
        <v>8</v>
      </c>
      <c r="K128" s="50">
        <v>0.03547453703703704</v>
      </c>
    </row>
    <row r="129" spans="1:11" ht="15" customHeight="1" hidden="1">
      <c r="A129" s="10">
        <v>111</v>
      </c>
      <c r="B129" s="13">
        <v>20</v>
      </c>
      <c r="C129" s="45" t="str">
        <f>_xlfn.IFERROR(__xludf.DUMMYFUNCTION("""COMPUTED_VALUE"""),"JENCIKOVA")</f>
        <v>JENCIKOVA</v>
      </c>
      <c r="D129" s="40" t="str">
        <f>_xlfn.IFERROR(__xludf.DUMMYFUNCTION("""COMPUTED_VALUE"""),"Marianna")</f>
        <v>Marianna</v>
      </c>
      <c r="E129" s="7" t="s">
        <v>11</v>
      </c>
      <c r="F129" s="32" t="s">
        <v>23</v>
      </c>
      <c r="G129" s="27">
        <f>_xlfn.IFERROR(__xludf.DUMMYFUNCTION("""COMPUTED_VALUE"""),1980)</f>
        <v>1980</v>
      </c>
      <c r="H129" s="38" t="str">
        <f>_xlfn.IFERROR(__xludf.DUMMYFUNCTION("""COMPUTED_VALUE"""),"Prešov")</f>
        <v>Prešov</v>
      </c>
      <c r="I129" s="14" t="str">
        <f t="shared" si="5"/>
        <v>G</v>
      </c>
      <c r="J129" s="12">
        <f>COUNTIF(I$5:I129,I129)</f>
        <v>9</v>
      </c>
      <c r="K129" s="50">
        <v>0.03633101851851852</v>
      </c>
    </row>
    <row r="130" spans="1:11" ht="15" customHeight="1" hidden="1">
      <c r="A130" s="5">
        <v>122</v>
      </c>
      <c r="B130" s="13">
        <v>32</v>
      </c>
      <c r="C130" s="46" t="str">
        <f>_xlfn.IFERROR(__xludf.DUMMYFUNCTION("""COMPUTED_VALUE"""),"DAŇKOVÁ")</f>
        <v>DAŇKOVÁ</v>
      </c>
      <c r="D130" s="41" t="str">
        <f>_xlfn.IFERROR(__xludf.DUMMYFUNCTION("""COMPUTED_VALUE"""),"Andrea")</f>
        <v>Andrea</v>
      </c>
      <c r="E130" s="7" t="s">
        <v>11</v>
      </c>
      <c r="F130" s="31" t="s">
        <v>23</v>
      </c>
      <c r="G130" s="26">
        <f>_xlfn.IFERROR(__xludf.DUMMYFUNCTION("""COMPUTED_VALUE"""),1977)</f>
        <v>1977</v>
      </c>
      <c r="H130" s="37" t="str">
        <f>_xlfn.IFERROR(__xludf.DUMMYFUNCTION("""COMPUTED_VALUE"""),"MARAS team")</f>
        <v>MARAS team</v>
      </c>
      <c r="I130" s="14" t="str">
        <f t="shared" si="5"/>
        <v>G</v>
      </c>
      <c r="J130" s="12">
        <f>COUNTIF(I$5:I130,I130)</f>
        <v>10</v>
      </c>
      <c r="K130" s="50">
        <v>0.03846064814814815</v>
      </c>
    </row>
    <row r="131" spans="1:11" ht="15" customHeight="1" hidden="1">
      <c r="A131" s="10">
        <v>127</v>
      </c>
      <c r="B131" s="13">
        <v>44</v>
      </c>
      <c r="C131" s="46" t="str">
        <f>_xlfn.IFERROR(__xludf.DUMMYFUNCTION("""COMPUTED_VALUE"""),"TROJČÁKOVÁ")</f>
        <v>TROJČÁKOVÁ</v>
      </c>
      <c r="D131" s="41" t="str">
        <f>_xlfn.IFERROR(__xludf.DUMMYFUNCTION("""COMPUTED_VALUE"""),"Zuzana")</f>
        <v>Zuzana</v>
      </c>
      <c r="E131" s="7" t="s">
        <v>11</v>
      </c>
      <c r="F131" s="31" t="s">
        <v>23</v>
      </c>
      <c r="G131" s="26">
        <f>_xlfn.IFERROR(__xludf.DUMMYFUNCTION("""COMPUTED_VALUE"""),1975)</f>
        <v>1975</v>
      </c>
      <c r="H131" s="37" t="str">
        <f>_xlfn.IFERROR(__xludf.DUMMYFUNCTION("""COMPUTED_VALUE"""),"Kostoľany nad Hornádom")</f>
        <v>Kostoľany nad Hornádom</v>
      </c>
      <c r="I131" s="14" t="str">
        <f t="shared" si="5"/>
        <v>G</v>
      </c>
      <c r="J131" s="12">
        <f>COUNTIF(I$5:I131,I131)</f>
        <v>11</v>
      </c>
      <c r="K131" s="50"/>
    </row>
    <row r="132" spans="1:11" ht="15" customHeight="1" hidden="1">
      <c r="A132" s="5">
        <v>129</v>
      </c>
      <c r="B132" s="13">
        <v>59</v>
      </c>
      <c r="C132" s="45" t="str">
        <f>_xlfn.IFERROR(__xludf.DUMMYFUNCTION("""COMPUTED_VALUE"""),"PETROVIČOVÁ")</f>
        <v>PETROVIČOVÁ</v>
      </c>
      <c r="D132" s="40" t="str">
        <f>_xlfn.IFERROR(__xludf.DUMMYFUNCTION("""COMPUTED_VALUE"""),"Ingrid")</f>
        <v>Ingrid</v>
      </c>
      <c r="E132" s="7" t="s">
        <v>11</v>
      </c>
      <c r="F132" s="32" t="s">
        <v>23</v>
      </c>
      <c r="G132" s="27">
        <f>_xlfn.IFERROR(__xludf.DUMMYFUNCTION("""COMPUTED_VALUE"""),1972)</f>
        <v>1972</v>
      </c>
      <c r="H132" s="38" t="str">
        <f>_xlfn.IFERROR(__xludf.DUMMYFUNCTION("""COMPUTED_VALUE"""),"Lektvare ")</f>
        <v>Lektvare </v>
      </c>
      <c r="I132" s="14" t="str">
        <f t="shared" si="5"/>
        <v>G</v>
      </c>
      <c r="J132" s="12">
        <f>COUNTIF(I$5:I132,I132)</f>
        <v>12</v>
      </c>
      <c r="K132" s="50"/>
    </row>
    <row r="133" spans="1:11" ht="15" customHeight="1" hidden="1">
      <c r="A133" s="10">
        <v>135</v>
      </c>
      <c r="B133" s="13">
        <v>97</v>
      </c>
      <c r="C133" s="45" t="str">
        <f>_xlfn.IFERROR(__xludf.DUMMYFUNCTION("""COMPUTED_VALUE"""),"TOMÁŠOVA")</f>
        <v>TOMÁŠOVA</v>
      </c>
      <c r="D133" s="40" t="str">
        <f>_xlfn.IFERROR(__xludf.DUMMYFUNCTION("""COMPUTED_VALUE"""),"Hedviga")</f>
        <v>Hedviga</v>
      </c>
      <c r="E133" s="7" t="s">
        <v>11</v>
      </c>
      <c r="F133" s="32" t="s">
        <v>23</v>
      </c>
      <c r="G133" s="27">
        <f>_xlfn.IFERROR(__xludf.DUMMYFUNCTION("""COMPUTED_VALUE"""),1973)</f>
        <v>1973</v>
      </c>
      <c r="H133" s="38" t="str">
        <f>_xlfn.IFERROR(__xludf.DUMMYFUNCTION("""COMPUTED_VALUE"""),"3MR sport")</f>
        <v>3MR sport</v>
      </c>
      <c r="I133" s="14" t="str">
        <f t="shared" si="5"/>
        <v>G</v>
      </c>
      <c r="J133" s="12">
        <f>COUNTIF(I$5:I133,I133)</f>
        <v>13</v>
      </c>
      <c r="K133" s="50"/>
    </row>
    <row r="134" spans="1:11" ht="15" customHeight="1" thickBot="1">
      <c r="A134" s="187" t="s">
        <v>118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9"/>
    </row>
    <row r="135" spans="1:11" s="74" customFormat="1" ht="15" customHeight="1">
      <c r="A135" s="82">
        <v>1</v>
      </c>
      <c r="B135" s="75">
        <v>46</v>
      </c>
      <c r="C135" s="89" t="str">
        <f>_xlfn.IFERROR(__xludf.DUMMYFUNCTION("""COMPUTED_VALUE"""),"JENDRICHOVSKÁ")</f>
        <v>JENDRICHOVSKÁ</v>
      </c>
      <c r="D135" s="90" t="str">
        <f>_xlfn.IFERROR(__xludf.DUMMYFUNCTION("""COMPUTED_VALUE"""),"Danka")</f>
        <v>Danka</v>
      </c>
      <c r="E135" s="78" t="s">
        <v>11</v>
      </c>
      <c r="F135" s="91" t="s">
        <v>23</v>
      </c>
      <c r="G135" s="92">
        <f>_xlfn.IFERROR(__xludf.DUMMYFUNCTION("""COMPUTED_VALUE"""),1967)</f>
        <v>1967</v>
      </c>
      <c r="H135" s="93" t="str">
        <f>_xlfn.IFERROR(__xludf.DUMMYFUNCTION("""COMPUTED_VALUE"""),"TTTrend")</f>
        <v>TTTrend</v>
      </c>
      <c r="I135" s="72" t="str">
        <f>IF(F135="m",IF($G$1-$G135&lt;=17,"JM",IF($G$1-$G135&lt;=39,"A",IF($G$1-$G135&lt;=49,"B",IF($G$1-$G135&lt;=59,"C",IF($G$1-$G135&lt;=69,"D","E"))))),IF($G$1-$G135&lt;=17,"JŽ",IF($G$1-$G135&lt;=39,"F",IF($G$1-$G135&lt;=49,"G",IF($G$1-$G135&lt;=59,"H","I")))))</f>
        <v>H</v>
      </c>
      <c r="J135" s="81">
        <f>COUNTIF(I$5:I135,I135)</f>
        <v>1</v>
      </c>
      <c r="K135" s="73">
        <v>0.029050925925925928</v>
      </c>
    </row>
    <row r="136" spans="1:11" s="104" customFormat="1" ht="15" customHeight="1">
      <c r="A136" s="110">
        <v>2</v>
      </c>
      <c r="B136" s="95">
        <v>41</v>
      </c>
      <c r="C136" s="105" t="str">
        <f>_xlfn.IFERROR(__xludf.DUMMYFUNCTION("""COMPUTED_VALUE"""),"KRAJŇÁKOVÁ")</f>
        <v>KRAJŇÁKOVÁ</v>
      </c>
      <c r="D136" s="106" t="str">
        <f>_xlfn.IFERROR(__xludf.DUMMYFUNCTION("""COMPUTED_VALUE"""),"Katarína")</f>
        <v>Katarína</v>
      </c>
      <c r="E136" s="98" t="s">
        <v>11</v>
      </c>
      <c r="F136" s="107" t="s">
        <v>23</v>
      </c>
      <c r="G136" s="108">
        <f>_xlfn.IFERROR(__xludf.DUMMYFUNCTION("""COMPUTED_VALUE"""),1967)</f>
        <v>1967</v>
      </c>
      <c r="H136" s="109" t="str">
        <f>_xlfn.IFERROR(__xludf.DUMMYFUNCTION("""COMPUTED_VALUE"""),"MARAS team")</f>
        <v>MARAS team</v>
      </c>
      <c r="I136" s="101" t="str">
        <f>IF(F136="m",IF($G$1-$G136&lt;=17,"JM",IF($G$1-$G136&lt;=39,"A",IF($G$1-$G136&lt;=49,"B",IF($G$1-$G136&lt;=59,"C",IF($G$1-$G136&lt;=69,"D","E"))))),IF($G$1-$G136&lt;=17,"JŽ",IF($G$1-$G136&lt;=39,"F",IF($G$1-$G136&lt;=49,"G",IF($G$1-$G136&lt;=59,"H","I")))))</f>
        <v>H</v>
      </c>
      <c r="J136" s="102">
        <f>COUNTIF(I$5:I136,I136)</f>
        <v>2</v>
      </c>
      <c r="K136" s="103">
        <v>0.03107638888888889</v>
      </c>
    </row>
    <row r="137" spans="1:11" s="127" customFormat="1" ht="15" customHeight="1" thickBot="1">
      <c r="A137" s="133">
        <v>3</v>
      </c>
      <c r="B137" s="117">
        <v>9</v>
      </c>
      <c r="C137" s="118" t="str">
        <f>_xlfn.IFERROR(__xludf.DUMMYFUNCTION("""COMPUTED_VALUE"""),"MEDVECKOVÁ")</f>
        <v>MEDVECKOVÁ</v>
      </c>
      <c r="D137" s="119" t="str">
        <f>_xlfn.IFERROR(__xludf.DUMMYFUNCTION("""COMPUTED_VALUE"""),"Terézia")</f>
        <v>Terézia</v>
      </c>
      <c r="E137" s="120" t="s">
        <v>11</v>
      </c>
      <c r="F137" s="121" t="s">
        <v>23</v>
      </c>
      <c r="G137" s="122">
        <f>_xlfn.IFERROR(__xludf.DUMMYFUNCTION("""COMPUTED_VALUE"""),1966)</f>
        <v>1966</v>
      </c>
      <c r="H137" s="123" t="str">
        <f>_xlfn.IFERROR(__xludf.DUMMYFUNCTION("""COMPUTED_VALUE"""),"MARAS team")</f>
        <v>MARAS team</v>
      </c>
      <c r="I137" s="124" t="str">
        <f>IF(F137="m",IF($G$1-$G137&lt;=17,"JM",IF($G$1-$G137&lt;=39,"A",IF($G$1-$G137&lt;=49,"B",IF($G$1-$G137&lt;=59,"C",IF($G$1-$G137&lt;=69,"D","E"))))),IF($G$1-$G137&lt;=17,"JŽ",IF($G$1-$G137&lt;=39,"F",IF($G$1-$G137&lt;=49,"G",IF($G$1-$G137&lt;=59,"H","I")))))</f>
        <v>H</v>
      </c>
      <c r="J137" s="125">
        <f>COUNTIF(I$5:I137,I137)</f>
        <v>3</v>
      </c>
      <c r="K137" s="126">
        <v>0.03179398148148148</v>
      </c>
    </row>
    <row r="138" spans="1:11" ht="15" customHeight="1" hidden="1">
      <c r="A138" s="10">
        <v>116</v>
      </c>
      <c r="B138" s="13">
        <v>137</v>
      </c>
      <c r="C138" s="45" t="str">
        <f>_xlfn.IFERROR(__xludf.DUMMYFUNCTION("""COMPUTED_VALUE"""),"IHNATOVÁ")</f>
        <v>IHNATOVÁ</v>
      </c>
      <c r="D138" s="40" t="str">
        <f>_xlfn.IFERROR(__xludf.DUMMYFUNCTION("""COMPUTED_VALUE"""),"Monika")</f>
        <v>Monika</v>
      </c>
      <c r="E138" s="7" t="s">
        <v>11</v>
      </c>
      <c r="F138" s="32" t="s">
        <v>23</v>
      </c>
      <c r="G138" s="27">
        <f>_xlfn.IFERROR(__xludf.DUMMYFUNCTION("""COMPUTED_VALUE"""),1967)</f>
        <v>1967</v>
      </c>
      <c r="H138" s="38" t="str">
        <f>_xlfn.IFERROR(__xludf.DUMMYFUNCTION("""COMPUTED_VALUE"""),"MARAS team")</f>
        <v>MARAS team</v>
      </c>
      <c r="I138" s="14" t="str">
        <f>IF(F138="m",IF($G$1-$G138&lt;=17,"JM",IF($G$1-$G138&lt;=39,"A",IF($G$1-$G138&lt;=49,"B",IF($G$1-$G138&lt;=59,"C",IF($G$1-$G138&lt;=69,"D","E"))))),IF($G$1-$G138&lt;=17,"JŽ",IF($G$1-$G138&lt;=39,"F",IF($G$1-$G138&lt;=49,"G",IF($G$1-$G138&lt;=59,"H","I")))))</f>
        <v>H</v>
      </c>
      <c r="J138" s="12">
        <f>COUNTIF(I$5:I138,I138)</f>
        <v>4</v>
      </c>
      <c r="K138" s="50">
        <v>0.03716435185185185</v>
      </c>
    </row>
    <row r="139" spans="1:11" ht="15" customHeight="1" thickBot="1">
      <c r="A139" s="187" t="s">
        <v>119</v>
      </c>
      <c r="B139" s="188"/>
      <c r="C139" s="188"/>
      <c r="D139" s="188"/>
      <c r="E139" s="188"/>
      <c r="F139" s="188"/>
      <c r="G139" s="188"/>
      <c r="H139" s="188"/>
      <c r="I139" s="188"/>
      <c r="J139" s="188"/>
      <c r="K139" s="189"/>
    </row>
    <row r="140" spans="1:11" s="74" customFormat="1" ht="15" customHeight="1">
      <c r="A140" s="82">
        <v>1</v>
      </c>
      <c r="B140" s="75">
        <v>33</v>
      </c>
      <c r="C140" s="89" t="str">
        <f>_xlfn.IFERROR(__xludf.DUMMYFUNCTION("""COMPUTED_VALUE"""),"CHOVANOVÁ")</f>
        <v>CHOVANOVÁ</v>
      </c>
      <c r="D140" s="90" t="str">
        <f>_xlfn.IFERROR(__xludf.DUMMYFUNCTION("""COMPUTED_VALUE"""),"Erika")</f>
        <v>Erika</v>
      </c>
      <c r="E140" s="78" t="s">
        <v>11</v>
      </c>
      <c r="F140" s="91" t="s">
        <v>23</v>
      </c>
      <c r="G140" s="92">
        <f>_xlfn.IFERROR(__xludf.DUMMYFUNCTION("""COMPUTED_VALUE"""),1958)</f>
        <v>1958</v>
      </c>
      <c r="H140" s="93" t="str">
        <f>_xlfn.IFERROR(__xludf.DUMMYFUNCTION("""COMPUTED_VALUE"""),"Prešov")</f>
        <v>Prešov</v>
      </c>
      <c r="I140" s="72" t="str">
        <f>IF(F140="m",IF($G$1-$G140&lt;=17,"JM",IF($G$1-$G140&lt;=39,"A",IF($G$1-$G140&lt;=49,"B",IF($G$1-$G140&lt;=59,"C",IF($G$1-$G140&lt;=69,"D","E"))))),IF($G$1-$G140&lt;=17,"JŽ",IF($G$1-$G140&lt;=39,"F",IF($G$1-$G140&lt;=49,"G",IF($G$1-$G140&lt;=59,"H","I")))))</f>
        <v>I</v>
      </c>
      <c r="J140" s="81">
        <f>COUNTIF(I$5:I140,I140)</f>
        <v>1</v>
      </c>
      <c r="K140" s="73">
        <v>0.03204861111111111</v>
      </c>
    </row>
    <row r="141" spans="1:11" s="104" customFormat="1" ht="15" customHeight="1">
      <c r="A141" s="110">
        <v>2</v>
      </c>
      <c r="B141" s="95">
        <v>72</v>
      </c>
      <c r="C141" s="96" t="s">
        <v>111</v>
      </c>
      <c r="D141" s="97" t="s">
        <v>61</v>
      </c>
      <c r="E141" s="98" t="s">
        <v>11</v>
      </c>
      <c r="F141" s="95" t="s">
        <v>23</v>
      </c>
      <c r="G141" s="99">
        <v>1959</v>
      </c>
      <c r="H141" s="100" t="s">
        <v>74</v>
      </c>
      <c r="I141" s="101" t="str">
        <f>IF(F141="m",IF($G$1-$G141&lt;=17,"JM",IF($G$1-$G141&lt;=39,"A",IF($G$1-$G141&lt;=49,"B",IF($G$1-$G141&lt;=59,"C",IF($G$1-$G141&lt;=69,"D","E"))))),IF($G$1-$G141&lt;=17,"JŽ",IF($G$1-$G141&lt;=39,"F",IF($G$1-$G141&lt;=49,"G",IF($G$1-$G141&lt;=59,"H","I")))))</f>
        <v>I</v>
      </c>
      <c r="J141" s="102">
        <f>COUNTIF(I$5:I141,I141)</f>
        <v>2</v>
      </c>
      <c r="K141" s="103">
        <v>0.03747685185185185</v>
      </c>
    </row>
    <row r="142" spans="1:11" s="127" customFormat="1" ht="13.5" customHeight="1" thickBot="1">
      <c r="A142" s="133">
        <v>3</v>
      </c>
      <c r="B142" s="117">
        <v>91</v>
      </c>
      <c r="C142" s="134" t="s">
        <v>90</v>
      </c>
      <c r="D142" s="135" t="s">
        <v>91</v>
      </c>
      <c r="E142" s="120" t="s">
        <v>11</v>
      </c>
      <c r="F142" s="117" t="s">
        <v>23</v>
      </c>
      <c r="G142" s="136">
        <v>1950</v>
      </c>
      <c r="H142" s="137" t="s">
        <v>26</v>
      </c>
      <c r="I142" s="124" t="str">
        <f>IF(F142="m",IF($G$1-$G142&lt;=17,"JM",IF($G$1-$G142&lt;=39,"A",IF($G$1-$G142&lt;=49,"B",IF($G$1-$G142&lt;=59,"C",IF($G$1-$G142&lt;=69,"D","E"))))),IF($G$1-$G142&lt;=17,"JŽ",IF($G$1-$G142&lt;=39,"F",IF($G$1-$G142&lt;=49,"G",IF($G$1-$G142&lt;=59,"H","I")))))</f>
        <v>I</v>
      </c>
      <c r="J142" s="125">
        <f>COUNTIF(I$5:I142,I142)</f>
        <v>3</v>
      </c>
      <c r="K142" s="126">
        <v>0.04133101851851852</v>
      </c>
    </row>
    <row r="143" spans="1:11" ht="15" customHeight="1" thickBot="1">
      <c r="A143" s="187" t="s">
        <v>120</v>
      </c>
      <c r="B143" s="188"/>
      <c r="C143" s="188"/>
      <c r="D143" s="188"/>
      <c r="E143" s="188"/>
      <c r="F143" s="188"/>
      <c r="G143" s="188"/>
      <c r="H143" s="188"/>
      <c r="I143" s="188"/>
      <c r="J143" s="188"/>
      <c r="K143" s="189"/>
    </row>
    <row r="144" spans="1:11" s="74" customFormat="1" ht="15" customHeight="1">
      <c r="A144" s="65">
        <v>1</v>
      </c>
      <c r="B144" s="75">
        <v>80</v>
      </c>
      <c r="C144" s="89" t="str">
        <f>_xlfn.IFERROR(__xludf.DUMMYFUNCTION("""COMPUTED_VALUE"""),"BRODŇANSKÝ")</f>
        <v>BRODŇANSKÝ</v>
      </c>
      <c r="D144" s="90" t="str">
        <f>_xlfn.IFERROR(__xludf.DUMMYFUNCTION("""COMPUTED_VALUE"""),"Dávid")</f>
        <v>Dávid</v>
      </c>
      <c r="E144" s="78" t="s">
        <v>11</v>
      </c>
      <c r="F144" s="91" t="s">
        <v>3</v>
      </c>
      <c r="G144" s="92">
        <f>_xlfn.IFERROR(__xludf.DUMMYFUNCTION("""COMPUTED_VALUE"""),2003)</f>
        <v>2003</v>
      </c>
      <c r="H144" s="93" t="str">
        <f>_xlfn.IFERROR(__xludf.DUMMYFUNCTION("""COMPUTED_VALUE"""),"Biatlon ŠK Prešov")</f>
        <v>Biatlon ŠK Prešov</v>
      </c>
      <c r="I144" s="72" t="str">
        <f>IF(F144="m",IF($G$1-$G144&lt;=17,"JM",IF($G$1-$G144&lt;=39,"A",IF($G$1-$G144&lt;=49,"B",IF($G$1-$G144&lt;=59,"C",IF($G$1-$G144&lt;=69,"D","E"))))),IF($G$1-$G144&lt;=17,"JŽ",IF($G$1-$G144&lt;=39,"F",IF($G$1-$G144&lt;=49,"G",IF($G$1-$G144&lt;=59,"H","I")))))</f>
        <v>JM</v>
      </c>
      <c r="J144" s="81">
        <f>COUNTIF(I$5:I144,I144)</f>
        <v>1</v>
      </c>
      <c r="K144" s="73">
        <v>0.023472222222222217</v>
      </c>
    </row>
    <row r="145" spans="1:11" s="104" customFormat="1" ht="15" customHeight="1">
      <c r="A145" s="94">
        <v>2</v>
      </c>
      <c r="B145" s="95">
        <v>120</v>
      </c>
      <c r="C145" s="111" t="str">
        <f>_xlfn.IFERROR(__xludf.DUMMYFUNCTION("""COMPUTED_VALUE"""),"HASSAN")</f>
        <v>HASSAN</v>
      </c>
      <c r="D145" s="112" t="str">
        <f>_xlfn.IFERROR(__xludf.DUMMYFUNCTION("""COMPUTED_VALUE"""),"Jakob")</f>
        <v>Jakob</v>
      </c>
      <c r="E145" s="98" t="s">
        <v>11</v>
      </c>
      <c r="F145" s="113" t="s">
        <v>3</v>
      </c>
      <c r="G145" s="114">
        <f>_xlfn.IFERROR(__xludf.DUMMYFUNCTION("""COMPUTED_VALUE"""),2003)</f>
        <v>2003</v>
      </c>
      <c r="H145" s="115" t="str">
        <f>_xlfn.IFERROR(__xludf.DUMMYFUNCTION("""COMPUTED_VALUE"""),"Mnichov")</f>
        <v>Mnichov</v>
      </c>
      <c r="I145" s="101" t="str">
        <f>IF(F145="m",IF($G$1-$G145&lt;=17,"JM",IF($G$1-$G145&lt;=39,"A",IF($G$1-$G145&lt;=49,"B",IF($G$1-$G145&lt;=59,"C",IF($G$1-$G145&lt;=69,"D","E"))))),IF($G$1-$G145&lt;=17,"JŽ",IF($G$1-$G145&lt;=39,"F",IF($G$1-$G145&lt;=49,"G",IF($G$1-$G145&lt;=59,"H","I")))))</f>
        <v>JM</v>
      </c>
      <c r="J145" s="102">
        <f>COUNTIF(I$5:I145,I145)</f>
        <v>2</v>
      </c>
      <c r="K145" s="103">
        <v>0.027256944444444445</v>
      </c>
    </row>
    <row r="146" spans="1:11" s="127" customFormat="1" ht="14.25" customHeight="1" thickBot="1">
      <c r="A146" s="116">
        <v>3</v>
      </c>
      <c r="B146" s="117">
        <v>24</v>
      </c>
      <c r="C146" s="134" t="s">
        <v>49</v>
      </c>
      <c r="D146" s="135" t="s">
        <v>50</v>
      </c>
      <c r="E146" s="120" t="s">
        <v>11</v>
      </c>
      <c r="F146" s="117" t="s">
        <v>3</v>
      </c>
      <c r="G146" s="136">
        <v>2006</v>
      </c>
      <c r="H146" s="137" t="s">
        <v>26</v>
      </c>
      <c r="I146" s="124" t="str">
        <f>IF(F146="m",IF($G$1-$G146&lt;=17,"JM",IF($G$1-$G146&lt;=39,"A",IF($G$1-$G146&lt;=49,"B",IF($G$1-$G146&lt;=59,"C",IF($G$1-$G146&lt;=69,"D","E"))))),IF($G$1-$G146&lt;=17,"JŽ",IF($G$1-$G146&lt;=39,"F",IF($G$1-$G146&lt;=49,"G",IF($G$1-$G146&lt;=59,"H","I")))))</f>
        <v>JM</v>
      </c>
      <c r="J146" s="125">
        <f>COUNTIF(I$5:I146,I146)</f>
        <v>3</v>
      </c>
      <c r="K146" s="126">
        <v>0.02837962962962963</v>
      </c>
    </row>
    <row r="147" spans="1:11" ht="15" customHeight="1" hidden="1">
      <c r="A147" s="5">
        <v>97</v>
      </c>
      <c r="B147" s="13">
        <v>122</v>
      </c>
      <c r="C147" s="44" t="s">
        <v>24</v>
      </c>
      <c r="D147" s="42" t="s">
        <v>28</v>
      </c>
      <c r="E147" s="7" t="s">
        <v>11</v>
      </c>
      <c r="F147" s="13" t="s">
        <v>3</v>
      </c>
      <c r="G147" s="28">
        <v>2010</v>
      </c>
      <c r="H147" s="39" t="s">
        <v>26</v>
      </c>
      <c r="I147" s="14" t="str">
        <f>IF(F147="m",IF($G$1-$G147&lt;=17,"JM",IF($G$1-$G147&lt;=39,"A",IF($G$1-$G147&lt;=49,"B",IF($G$1-$G147&lt;=59,"C",IF($G$1-$G147&lt;=69,"D","E"))))),IF($G$1-$G147&lt;=17,"JŽ",IF($G$1-$G147&lt;=39,"F",IF($G$1-$G147&lt;=49,"G",IF($G$1-$G147&lt;=59,"H","I")))))</f>
        <v>JM</v>
      </c>
      <c r="J147" s="12">
        <f>COUNTIF(I$5:I147,I147)</f>
        <v>4</v>
      </c>
      <c r="K147" s="50">
        <v>0.03364583333333333</v>
      </c>
    </row>
    <row r="148" spans="1:11" ht="15" customHeight="1" thickBot="1">
      <c r="A148" s="187" t="s">
        <v>121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9"/>
    </row>
    <row r="149" spans="1:11" s="74" customFormat="1" ht="15" customHeight="1">
      <c r="A149" s="65">
        <v>1</v>
      </c>
      <c r="B149" s="75">
        <v>65</v>
      </c>
      <c r="C149" s="89" t="str">
        <f>_xlfn.IFERROR(__xludf.DUMMYFUNCTION("""COMPUTED_VALUE"""),"LEŠKOVÁ")</f>
        <v>LEŠKOVÁ</v>
      </c>
      <c r="D149" s="90" t="str">
        <f>_xlfn.IFERROR(__xludf.DUMMYFUNCTION("""COMPUTED_VALUE"""),"Natália")</f>
        <v>Natália</v>
      </c>
      <c r="E149" s="78" t="s">
        <v>11</v>
      </c>
      <c r="F149" s="91" t="s">
        <v>23</v>
      </c>
      <c r="G149" s="92">
        <f>_xlfn.IFERROR(__xludf.DUMMYFUNCTION("""COMPUTED_VALUE"""),2007)</f>
        <v>2007</v>
      </c>
      <c r="H149" s="87" t="str">
        <f>_xlfn.IFERROR(__xludf.DUMMYFUNCTION("""COMPUTED_VALUE"""),"MARAS team ")</f>
        <v>MARAS team </v>
      </c>
      <c r="I149" s="72" t="str">
        <f>IF(F149="m",IF($G$1-$G149&lt;=17,"JM",IF($G$1-$G149&lt;=39,"A",IF($G$1-$G149&lt;=49,"B",IF($G$1-$G149&lt;=59,"C",IF($G$1-$G149&lt;=69,"D","E"))))),IF($G$1-$G149&lt;=17,"JŽ",IF($G$1-$G149&lt;=39,"F",IF($G$1-$G149&lt;=49,"G",IF($G$1-$G149&lt;=59,"H","I")))))</f>
        <v>JŽ</v>
      </c>
      <c r="J149" s="81">
        <f>COUNTIF(I$5:I149,I149)</f>
        <v>1</v>
      </c>
      <c r="K149" s="73">
        <v>0.030416666666666665</v>
      </c>
    </row>
    <row r="150" spans="1:11" s="104" customFormat="1" ht="15" customHeight="1">
      <c r="A150" s="94">
        <v>2</v>
      </c>
      <c r="B150" s="95">
        <v>124</v>
      </c>
      <c r="C150" s="96" t="s">
        <v>24</v>
      </c>
      <c r="D150" s="97" t="s">
        <v>27</v>
      </c>
      <c r="E150" s="98" t="s">
        <v>11</v>
      </c>
      <c r="F150" s="95" t="s">
        <v>23</v>
      </c>
      <c r="G150" s="99">
        <v>2005</v>
      </c>
      <c r="H150" s="100" t="s">
        <v>26</v>
      </c>
      <c r="I150" s="101" t="str">
        <f>IF(F150="m",IF($G$1-$G150&lt;=17,"JM",IF($G$1-$G150&lt;=39,"A",IF($G$1-$G150&lt;=49,"B",IF($G$1-$G150&lt;=59,"C",IF($G$1-$G150&lt;=69,"D","E"))))),IF($G$1-$G150&lt;=17,"JŽ",IF($G$1-$G150&lt;=39,"F",IF($G$1-$G150&lt;=49,"G",IF($G$1-$G150&lt;=59,"H","I")))))</f>
        <v>JŽ</v>
      </c>
      <c r="J150" s="102">
        <f>COUNTIF(I$5:I150,I150)</f>
        <v>2</v>
      </c>
      <c r="K150" s="103">
        <v>0.0328125</v>
      </c>
    </row>
    <row r="151" spans="1:11" s="64" customFormat="1" ht="15" customHeight="1" hidden="1">
      <c r="A151" s="190">
        <v>3</v>
      </c>
      <c r="B151" s="60">
        <v>81</v>
      </c>
      <c r="C151" s="194" t="str">
        <f>_xlfn.IFERROR(__xludf.DUMMYFUNCTION("""COMPUTED_VALUE"""),"ULIČNÁ")</f>
        <v>ULIČNÁ</v>
      </c>
      <c r="D151" s="195" t="str">
        <f>_xlfn.IFERROR(__xludf.DUMMYFUNCTION("""COMPUTED_VALUE"""),"Veronika")</f>
        <v>Veronika</v>
      </c>
      <c r="E151" s="193" t="s">
        <v>11</v>
      </c>
      <c r="F151" s="196" t="s">
        <v>23</v>
      </c>
      <c r="G151" s="197" t="s">
        <v>83</v>
      </c>
      <c r="H151" s="198" t="str">
        <f>_xlfn.IFERROR(__xludf.DUMMYFUNCTION("""COMPUTED_VALUE"""),"MARAS team")</f>
        <v>MARAS team</v>
      </c>
      <c r="I151" s="191" t="str">
        <f>IF(F151="m",IF($G$1-$G151&lt;=17,"JM",IF($G$1-$G151&lt;=39,"A",IF($G$1-$G151&lt;=49,"B",IF($G$1-$G151&lt;=59,"C",IF($G$1-$G151&lt;=69,"D","E"))))),IF($G$1-$G151&lt;=17,"JŽ",IF($G$1-$G151&lt;=39,"F",IF($G$1-$G151&lt;=49,"G",IF($G$1-$G151&lt;=59,"H","I")))))</f>
        <v>JŽ</v>
      </c>
      <c r="J151" s="62">
        <f>COUNTIF(I$5:I151,I151)</f>
        <v>3</v>
      </c>
      <c r="K151" s="192"/>
    </row>
    <row r="152" spans="1:11" s="64" customFormat="1" ht="15" customHeight="1" hidden="1">
      <c r="A152" s="185">
        <v>4</v>
      </c>
      <c r="B152" s="60">
        <v>104</v>
      </c>
      <c r="C152" s="194" t="str">
        <f>_xlfn.IFERROR(__xludf.DUMMYFUNCTION("""COMPUTED_VALUE"""),"HRICOVÁ")</f>
        <v>HRICOVÁ</v>
      </c>
      <c r="D152" s="195" t="str">
        <f>_xlfn.IFERROR(__xludf.DUMMYFUNCTION("""COMPUTED_VALUE"""),"Kristína")</f>
        <v>Kristína</v>
      </c>
      <c r="E152" s="193" t="s">
        <v>11</v>
      </c>
      <c r="F152" s="196" t="s">
        <v>23</v>
      </c>
      <c r="G152" s="197">
        <f>_xlfn.IFERROR(__xludf.DUMMYFUNCTION("""COMPUTED_VALUE"""),2003)</f>
        <v>2003</v>
      </c>
      <c r="H152" s="198" t="str">
        <f>_xlfn.IFERROR(__xludf.DUMMYFUNCTION("""COMPUTED_VALUE"""),"MARAS team")</f>
        <v>MARAS team</v>
      </c>
      <c r="I152" s="191" t="str">
        <f>IF(F152="m",IF($G$1-$G152&lt;=17,"JM",IF($G$1-$G152&lt;=39,"A",IF($G$1-$G152&lt;=49,"B",IF($G$1-$G152&lt;=59,"C",IF($G$1-$G152&lt;=69,"D","E"))))),IF($G$1-$G152&lt;=17,"JŽ",IF($G$1-$G152&lt;=39,"F",IF($G$1-$G152&lt;=49,"G",IF($G$1-$G152&lt;=59,"H","I")))))</f>
        <v>JŽ</v>
      </c>
      <c r="J152" s="62">
        <f>COUNTIF(I$5:I152,I152)</f>
        <v>4</v>
      </c>
      <c r="K152" s="192"/>
    </row>
    <row r="153" spans="1:11" s="127" customFormat="1" ht="15" customHeight="1">
      <c r="A153" s="116">
        <v>3</v>
      </c>
      <c r="B153" s="117">
        <v>104</v>
      </c>
      <c r="C153" s="118" t="str">
        <f>_xlfn.IFERROR(__xludf.DUMMYFUNCTION("""COMPUTED_VALUE"""),"HRICOVÁ")</f>
        <v>HRICOVÁ</v>
      </c>
      <c r="D153" s="119" t="str">
        <f>_xlfn.IFERROR(__xludf.DUMMYFUNCTION("""COMPUTED_VALUE"""),"Kristína")</f>
        <v>Kristína</v>
      </c>
      <c r="E153" s="120" t="s">
        <v>11</v>
      </c>
      <c r="F153" s="121" t="s">
        <v>23</v>
      </c>
      <c r="G153" s="122">
        <f>_xlfn.IFERROR(__xludf.DUMMYFUNCTION("""COMPUTED_VALUE"""),2003)</f>
        <v>2003</v>
      </c>
      <c r="H153" s="123" t="str">
        <f>_xlfn.IFERROR(__xludf.DUMMYFUNCTION("""COMPUTED_VALUE"""),"MARAS team")</f>
        <v>MARAS team</v>
      </c>
      <c r="I153" s="124" t="str">
        <f>IF(F153="m",IF($G$1-$G153&lt;=17,"JM",IF($G$1-$G153&lt;=39,"A",IF($G$1-$G153&lt;=49,"B",IF($G$1-$G153&lt;=59,"C",IF($G$1-$G153&lt;=69,"D","E"))))),IF($G$1-$G153&lt;=17,"JŽ",IF($G$1-$G153&lt;=39,"F",IF($G$1-$G153&lt;=49,"G",IF($G$1-$G153&lt;=59,"H","I")))))</f>
        <v>JŽ</v>
      </c>
      <c r="J153" s="125">
        <v>3</v>
      </c>
      <c r="K153" s="126">
        <v>0.04100694444444444</v>
      </c>
    </row>
    <row r="154" spans="1:11" s="127" customFormat="1" ht="15" customHeight="1">
      <c r="A154" s="160"/>
      <c r="B154" s="161"/>
      <c r="C154" s="162"/>
      <c r="D154" s="163"/>
      <c r="E154" s="164"/>
      <c r="F154" s="165"/>
      <c r="G154" s="166"/>
      <c r="H154" s="163"/>
      <c r="I154" s="167"/>
      <c r="J154" s="167"/>
      <c r="K154" s="168"/>
    </row>
    <row r="155" spans="1:11" ht="11.25">
      <c r="A155" s="171" t="s">
        <v>14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</row>
    <row r="156" spans="1:11" ht="11.25">
      <c r="A156" s="171" t="s">
        <v>13</v>
      </c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</row>
    <row r="159" spans="1:11" ht="11.2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</row>
    <row r="160" spans="1:11" ht="11.2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</row>
  </sheetData>
  <sheetProtection/>
  <mergeCells count="15">
    <mergeCell ref="A120:K120"/>
    <mergeCell ref="A134:K134"/>
    <mergeCell ref="A139:K139"/>
    <mergeCell ref="A143:K143"/>
    <mergeCell ref="A148:K148"/>
    <mergeCell ref="A2:K2"/>
    <mergeCell ref="A155:K155"/>
    <mergeCell ref="A156:K156"/>
    <mergeCell ref="A159:K159"/>
    <mergeCell ref="A160:K160"/>
    <mergeCell ref="A43:K43"/>
    <mergeCell ref="A61:K61"/>
    <mergeCell ref="A80:K80"/>
    <mergeCell ref="A92:K92"/>
    <mergeCell ref="A98:K98"/>
  </mergeCells>
  <conditionalFormatting sqref="C5:D42 G5:H42 G44:H60 C44:D60 C62:D79 G62:H79 G81:H91 C81:D91 C93:D97 G93:H97 G99:H119 C99:D119 C121:D133 G121:H133 G135:H138 C135:D138 C140:D142 G140:H142 G144:H147 C144:D147 C149:D152 G149:H152">
    <cfRule type="expression" priority="4" dxfId="0">
      <formula>$G5=1</formula>
    </cfRule>
  </conditionalFormatting>
  <conditionalFormatting sqref="F5:F42 F44:F60 F62:F79 F81:F91 F93:F97 F99:F119 F121:F133 F135:F138 F140:F142 F144:F147 F149:F152">
    <cfRule type="expression" priority="3" dxfId="0">
      <formula>$H5=1</formula>
    </cfRule>
  </conditionalFormatting>
  <conditionalFormatting sqref="C153:D154 G153:H154">
    <cfRule type="expression" priority="2" dxfId="0">
      <formula>$G153=1</formula>
    </cfRule>
  </conditionalFormatting>
  <conditionalFormatting sqref="F153:F154">
    <cfRule type="expression" priority="1" dxfId="0">
      <formula>$H153=1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2020-08-28T17:00:57Z</cp:lastPrinted>
  <dcterms:created xsi:type="dcterms:W3CDTF">2006-08-10T15:02:00Z</dcterms:created>
  <dcterms:modified xsi:type="dcterms:W3CDTF">2020-08-28T18:51:57Z</dcterms:modified>
  <cp:category/>
  <cp:version/>
  <cp:contentType/>
  <cp:contentStatus/>
</cp:coreProperties>
</file>